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userName="s349016" algorithmName="SHA-512" hashValue="xRLmmfB56ExQPcV5j8UocO8QvhDEH5aMAVH173uZqKZ38YhyJBVWqUr6EjJFaN9BCDCqXCvWkSZzbjjLB8draA==" saltValue="nqGxORZPGNG0JNqWUM+3I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Transco_OKTCo_SWTCo\Filed Documents\"/>
    </mc:Choice>
  </mc:AlternateContent>
  <xr:revisionPtr revIDLastSave="0" documentId="13_ncr:10001_{40F59B1C-5BB5-4ECB-86B0-3B73A40951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0">Instructions!$A$1:$R$20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186" i="18"/>
  <c r="H54" i="18" l="1"/>
  <c r="H106" i="18"/>
  <c r="H170" i="18"/>
  <c r="H23" i="18"/>
  <c r="H31" i="18"/>
  <c r="H63" i="18"/>
  <c r="H126" i="18"/>
  <c r="H190" i="18"/>
  <c r="H38" i="18"/>
  <c r="H74" i="18"/>
  <c r="H138" i="18"/>
  <c r="H202" i="18"/>
  <c r="H22" i="18"/>
  <c r="H47" i="18"/>
  <c r="H94" i="18"/>
  <c r="H158" i="18"/>
  <c r="H27" i="18"/>
  <c r="H39" i="18"/>
  <c r="H55" i="18"/>
  <c r="H78" i="18"/>
  <c r="H110" i="18"/>
  <c r="H142" i="18"/>
  <c r="H174" i="18"/>
  <c r="H206" i="18"/>
  <c r="H30" i="18"/>
  <c r="H46" i="18"/>
  <c r="H62" i="18"/>
  <c r="H90" i="18"/>
  <c r="H122" i="18"/>
  <c r="H154" i="18"/>
  <c r="H209" i="18"/>
  <c r="H205" i="18"/>
  <c r="H201" i="18"/>
  <c r="H197" i="18"/>
  <c r="H193" i="18"/>
  <c r="H189" i="18"/>
  <c r="H185" i="18"/>
  <c r="H181" i="18"/>
  <c r="H177" i="18"/>
  <c r="H173" i="18"/>
  <c r="H169" i="18"/>
  <c r="H165" i="18"/>
  <c r="H161" i="18"/>
  <c r="H157" i="18"/>
  <c r="H153" i="18"/>
  <c r="H149" i="18"/>
  <c r="H145" i="18"/>
  <c r="H141" i="18"/>
  <c r="H137" i="18"/>
  <c r="H133" i="18"/>
  <c r="H129" i="18"/>
  <c r="H125" i="18"/>
  <c r="H121" i="18"/>
  <c r="H117" i="18"/>
  <c r="H113" i="18"/>
  <c r="H109" i="18"/>
  <c r="H105" i="18"/>
  <c r="H101" i="18"/>
  <c r="H97" i="18"/>
  <c r="H93" i="18"/>
  <c r="H89" i="18"/>
  <c r="H85" i="18"/>
  <c r="H81" i="18"/>
  <c r="H77" i="18"/>
  <c r="H73" i="18"/>
  <c r="H69" i="18"/>
  <c r="H65" i="18"/>
  <c r="H61" i="18"/>
  <c r="H57" i="18"/>
  <c r="H53" i="18"/>
  <c r="H49" i="18"/>
  <c r="H45" i="18"/>
  <c r="H41" i="18"/>
  <c r="H37" i="18"/>
  <c r="H33" i="18"/>
  <c r="H29" i="18"/>
  <c r="H25" i="18"/>
  <c r="H21" i="18"/>
  <c r="H208" i="18"/>
  <c r="H204" i="18"/>
  <c r="H200" i="18"/>
  <c r="H196" i="18"/>
  <c r="H192" i="18"/>
  <c r="H188" i="18"/>
  <c r="H184" i="18"/>
  <c r="H180" i="18"/>
  <c r="H176" i="18"/>
  <c r="H172" i="18"/>
  <c r="H168" i="18"/>
  <c r="H164" i="18"/>
  <c r="H160" i="18"/>
  <c r="H156" i="18"/>
  <c r="H152" i="18"/>
  <c r="H148" i="18"/>
  <c r="H144" i="18"/>
  <c r="H140" i="18"/>
  <c r="H136" i="18"/>
  <c r="H132" i="18"/>
  <c r="H128" i="18"/>
  <c r="H124" i="18"/>
  <c r="H120" i="18"/>
  <c r="H116" i="18"/>
  <c r="H112" i="18"/>
  <c r="H108" i="18"/>
  <c r="H104" i="18"/>
  <c r="H100" i="18"/>
  <c r="H96" i="18"/>
  <c r="H92" i="18"/>
  <c r="H88" i="18"/>
  <c r="H84" i="18"/>
  <c r="H80" i="18"/>
  <c r="H76" i="18"/>
  <c r="H72" i="18"/>
  <c r="H68" i="18"/>
  <c r="H64" i="18"/>
  <c r="H60" i="18"/>
  <c r="H56" i="18"/>
  <c r="H52" i="18"/>
  <c r="H48" i="18"/>
  <c r="H44" i="18"/>
  <c r="H40" i="18"/>
  <c r="H36" i="18"/>
  <c r="H32" i="18"/>
  <c r="H28" i="18"/>
  <c r="H24" i="18"/>
  <c r="H20" i="18"/>
  <c r="H211" i="18"/>
  <c r="H207" i="18"/>
  <c r="H203" i="18"/>
  <c r="H199" i="18"/>
  <c r="H195" i="18"/>
  <c r="H191" i="18"/>
  <c r="H187" i="18"/>
  <c r="H183" i="18"/>
  <c r="H179" i="18"/>
  <c r="H175" i="18"/>
  <c r="H171" i="18"/>
  <c r="H167" i="18"/>
  <c r="H163" i="18"/>
  <c r="H159" i="18"/>
  <c r="H155" i="18"/>
  <c r="H151" i="18"/>
  <c r="H147" i="18"/>
  <c r="H143" i="18"/>
  <c r="H139" i="18"/>
  <c r="H135" i="18"/>
  <c r="H131" i="18"/>
  <c r="H127" i="18"/>
  <c r="H123" i="18"/>
  <c r="H119" i="18"/>
  <c r="H115" i="18"/>
  <c r="H111" i="18"/>
  <c r="H107" i="18"/>
  <c r="H103" i="18"/>
  <c r="H99" i="18"/>
  <c r="H95" i="18"/>
  <c r="H91" i="18"/>
  <c r="H87" i="18"/>
  <c r="H83" i="18"/>
  <c r="H79" i="18"/>
  <c r="H75" i="18"/>
  <c r="H71" i="18"/>
  <c r="H67" i="18"/>
  <c r="H26" i="18"/>
  <c r="H34" i="18"/>
  <c r="H42" i="18"/>
  <c r="H50" i="18"/>
  <c r="H58" i="18"/>
  <c r="H66" i="18"/>
  <c r="H82" i="18"/>
  <c r="H98" i="18"/>
  <c r="H114" i="18"/>
  <c r="H130" i="18"/>
  <c r="H146" i="18"/>
  <c r="H162" i="18"/>
  <c r="H178" i="18"/>
  <c r="H194" i="18"/>
  <c r="H210" i="18"/>
  <c r="H35" i="18"/>
  <c r="H43" i="18"/>
  <c r="H51" i="18"/>
  <c r="H59" i="18"/>
  <c r="H70" i="18"/>
  <c r="H86" i="18"/>
  <c r="H102" i="18"/>
  <c r="H118" i="18"/>
  <c r="H134" i="18"/>
  <c r="H150" i="18"/>
  <c r="H166" i="18"/>
  <c r="H182" i="18"/>
  <c r="H198" i="18"/>
  <c r="K20" i="18" l="1"/>
  <c r="O191" i="18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P97" i="18" s="1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C3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B30" i="18"/>
  <c r="D41" i="18"/>
  <c r="D65" i="18" s="1"/>
  <c r="D89" i="18" s="1"/>
  <c r="D101" i="18" s="1"/>
  <c r="D113" i="18" s="1"/>
  <c r="D125" i="18" s="1"/>
  <c r="D137" i="18" s="1"/>
  <c r="D149" i="18" s="1"/>
  <c r="D161" i="18" s="1"/>
  <c r="D185" i="18" s="1"/>
  <c r="D197" i="18" s="1"/>
  <c r="D209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 s="1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D63" i="18"/>
  <c r="D35" i="18"/>
  <c r="D37" i="18"/>
  <c r="D40" i="18"/>
  <c r="D52" i="18" s="1"/>
  <c r="D64" i="18"/>
  <c r="D76" i="18" s="1"/>
  <c r="D33" i="18"/>
  <c r="D57" i="18" s="1"/>
  <c r="D69" i="18" s="1"/>
  <c r="D34" i="18"/>
  <c r="D46" i="18" s="1"/>
  <c r="C54" i="18"/>
  <c r="C66" i="18"/>
  <c r="C90" i="18" s="1"/>
  <c r="C102" i="18" s="1"/>
  <c r="C114" i="18" s="1"/>
  <c r="C126" i="18" s="1"/>
  <c r="C138" i="18" s="1"/>
  <c r="C150" i="18" s="1"/>
  <c r="C162" i="18" s="1"/>
  <c r="C49" i="18"/>
  <c r="D53" i="18"/>
  <c r="D55" i="18"/>
  <c r="C51" i="18"/>
  <c r="C63" i="18"/>
  <c r="C58" i="18"/>
  <c r="C73" i="18"/>
  <c r="C85" i="18"/>
  <c r="C97" i="18" s="1"/>
  <c r="C109" i="18" s="1"/>
  <c r="C121" i="18" s="1"/>
  <c r="C133" i="18" s="1"/>
  <c r="C145" i="18" s="1"/>
  <c r="C157" i="18" s="1"/>
  <c r="C45" i="18"/>
  <c r="C57" i="18"/>
  <c r="C81" i="18" s="1"/>
  <c r="C93" i="18" s="1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P86" i="18" s="1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 s="1"/>
  <c r="O147" i="18"/>
  <c r="O51" i="18"/>
  <c r="O207" i="18"/>
  <c r="O171" i="18"/>
  <c r="P171" i="18" s="1"/>
  <c r="O211" i="18"/>
  <c r="P135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P71" i="18" s="1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 s="1"/>
  <c r="O87" i="18"/>
  <c r="P87" i="18" s="1"/>
  <c r="O64" i="18"/>
  <c r="P64" i="18" s="1"/>
  <c r="P177" i="18"/>
  <c r="P208" i="18"/>
  <c r="P57" i="18"/>
  <c r="P165" i="18"/>
  <c r="P173" i="18"/>
  <c r="P78" i="18"/>
  <c r="G33" i="29"/>
  <c r="G28" i="29"/>
  <c r="G22" i="29"/>
  <c r="G32" i="29"/>
  <c r="G30" i="29"/>
  <c r="D31" i="29"/>
  <c r="D27" i="29"/>
  <c r="G29" i="29"/>
  <c r="G25" i="29"/>
  <c r="E23" i="29"/>
  <c r="G31" i="29"/>
  <c r="H25" i="29"/>
  <c r="G26" i="29"/>
  <c r="E36" i="29"/>
  <c r="D33" i="29"/>
  <c r="G36" i="29"/>
  <c r="H29" i="29"/>
  <c r="E28" i="29"/>
  <c r="H32" i="29"/>
  <c r="G23" i="29"/>
  <c r="E29" i="29"/>
  <c r="H22" i="29"/>
  <c r="E26" i="29"/>
  <c r="H37" i="29"/>
  <c r="H23" i="29"/>
  <c r="E27" i="29"/>
  <c r="E35" i="29"/>
  <c r="D22" i="29"/>
  <c r="E22" i="29"/>
  <c r="D28" i="29"/>
  <c r="D26" i="29"/>
  <c r="E37" i="29"/>
  <c r="H26" i="29"/>
  <c r="D36" i="29"/>
  <c r="D30" i="29"/>
  <c r="E25" i="29"/>
  <c r="D23" i="29"/>
  <c r="E24" i="29"/>
  <c r="H28" i="29"/>
  <c r="G27" i="29"/>
  <c r="H27" i="29"/>
  <c r="D29" i="29"/>
  <c r="H24" i="29"/>
  <c r="E32" i="29"/>
  <c r="E30" i="29"/>
  <c r="H36" i="29"/>
  <c r="D25" i="29"/>
  <c r="D37" i="29"/>
  <c r="H30" i="29"/>
  <c r="H31" i="29"/>
  <c r="H33" i="29"/>
  <c r="D21" i="29"/>
  <c r="G37" i="29"/>
  <c r="E31" i="29"/>
  <c r="D32" i="29"/>
  <c r="G21" i="29"/>
  <c r="E21" i="29"/>
  <c r="D24" i="29"/>
  <c r="G24" i="29"/>
  <c r="H21" i="29"/>
  <c r="D35" i="29"/>
  <c r="G35" i="29"/>
  <c r="H35" i="29"/>
  <c r="E33" i="29"/>
  <c r="C78" i="18" l="1"/>
  <c r="C72" i="18"/>
  <c r="D45" i="18"/>
  <c r="C53" i="18"/>
  <c r="D54" i="18"/>
  <c r="C69" i="18"/>
  <c r="D81" i="18"/>
  <c r="D93" i="18" s="1"/>
  <c r="D105" i="18" s="1"/>
  <c r="D117" i="18" s="1"/>
  <c r="D129" i="18" s="1"/>
  <c r="D141" i="18" s="1"/>
  <c r="D153" i="18" s="1"/>
  <c r="D165" i="18" s="1"/>
  <c r="D77" i="18"/>
  <c r="D48" i="18"/>
  <c r="C71" i="18"/>
  <c r="D62" i="18"/>
  <c r="D74" i="18" s="1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H39" i="29" l="1"/>
  <c r="D86" i="18"/>
  <c r="D98" i="18" s="1"/>
  <c r="D110" i="18" s="1"/>
  <c r="D122" i="18" s="1"/>
  <c r="D134" i="18" s="1"/>
  <c r="D146" i="18" s="1"/>
  <c r="D158" i="18" s="1"/>
  <c r="D177" i="18"/>
  <c r="D189" i="18" s="1"/>
  <c r="D201" i="18" s="1"/>
  <c r="E39" i="29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F39" i="29" l="1"/>
  <c r="D170" i="18"/>
  <c r="D182" i="18"/>
  <c r="D194" i="18" s="1"/>
  <c r="D206" i="18" s="1"/>
  <c r="D178" i="18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I81" i="18" l="1"/>
  <c r="J81" i="18" s="1"/>
  <c r="L81" i="18" s="1"/>
  <c r="I147" i="18"/>
  <c r="J147" i="18" s="1"/>
  <c r="L147" i="18" s="1"/>
  <c r="I62" i="18"/>
  <c r="J62" i="18" s="1"/>
  <c r="L62" i="18" s="1"/>
  <c r="I45" i="18"/>
  <c r="J45" i="18" s="1"/>
  <c r="L45" i="18" s="1"/>
  <c r="I117" i="18"/>
  <c r="J117" i="18" s="1"/>
  <c r="L117" i="18" s="1"/>
  <c r="I148" i="18"/>
  <c r="J148" i="18" s="1"/>
  <c r="L148" i="18" s="1"/>
  <c r="I74" i="18"/>
  <c r="J74" i="18" s="1"/>
  <c r="L74" i="18" s="1"/>
  <c r="I30" i="18"/>
  <c r="J30" i="18" s="1"/>
  <c r="L30" i="18" s="1"/>
  <c r="I129" i="18"/>
  <c r="J129" i="18" s="1"/>
  <c r="L129" i="18" s="1"/>
  <c r="I206" i="18"/>
  <c r="J206" i="18" s="1"/>
  <c r="L206" i="18" s="1"/>
  <c r="I166" i="18"/>
  <c r="J166" i="18" s="1"/>
  <c r="L166" i="18" s="1"/>
  <c r="I190" i="18"/>
  <c r="J190" i="18" s="1"/>
  <c r="L190" i="18" s="1"/>
  <c r="I80" i="18"/>
  <c r="J80" i="18" s="1"/>
  <c r="L80" i="18" s="1"/>
  <c r="I76" i="18"/>
  <c r="J76" i="18" s="1"/>
  <c r="L76" i="18" s="1"/>
  <c r="I187" i="18"/>
  <c r="J187" i="18" s="1"/>
  <c r="L187" i="18" s="1"/>
  <c r="I178" i="18"/>
  <c r="J178" i="18" s="1"/>
  <c r="L178" i="18" s="1"/>
  <c r="I26" i="18"/>
  <c r="J26" i="18" s="1"/>
  <c r="L26" i="18" s="1"/>
  <c r="I203" i="18"/>
  <c r="J203" i="18" s="1"/>
  <c r="L203" i="18" s="1"/>
  <c r="I156" i="18"/>
  <c r="J156" i="18" s="1"/>
  <c r="L156" i="18" s="1"/>
  <c r="I68" i="18"/>
  <c r="J68" i="18" s="1"/>
  <c r="L68" i="18" s="1"/>
  <c r="I51" i="18"/>
  <c r="J51" i="18" s="1"/>
  <c r="L51" i="18" s="1"/>
  <c r="I167" i="18"/>
  <c r="J167" i="18" s="1"/>
  <c r="L167" i="18" s="1"/>
  <c r="I158" i="18"/>
  <c r="J158" i="18" s="1"/>
  <c r="L158" i="18" s="1"/>
  <c r="I199" i="18"/>
  <c r="J199" i="18" s="1"/>
  <c r="L199" i="18" s="1"/>
  <c r="I24" i="18"/>
  <c r="J24" i="18" s="1"/>
  <c r="L24" i="18" s="1"/>
  <c r="I99" i="18"/>
  <c r="J99" i="18" s="1"/>
  <c r="L99" i="18" s="1"/>
  <c r="I143" i="18"/>
  <c r="J143" i="18" s="1"/>
  <c r="L143" i="18" s="1"/>
  <c r="I34" i="18"/>
  <c r="J34" i="18" s="1"/>
  <c r="L34" i="18" s="1"/>
  <c r="I123" i="18"/>
  <c r="J123" i="18" s="1"/>
  <c r="L123" i="18" s="1"/>
  <c r="I134" i="18"/>
  <c r="J134" i="18" s="1"/>
  <c r="L134" i="18" s="1"/>
  <c r="I176" i="18"/>
  <c r="J176" i="18" s="1"/>
  <c r="L176" i="18" s="1"/>
  <c r="I53" i="18"/>
  <c r="J53" i="18" s="1"/>
  <c r="L53" i="18" s="1"/>
  <c r="I186" i="18"/>
  <c r="J186" i="18" s="1"/>
  <c r="L186" i="18" s="1"/>
  <c r="I41" i="18"/>
  <c r="J41" i="18" s="1"/>
  <c r="L41" i="18" s="1"/>
  <c r="I146" i="18"/>
  <c r="J146" i="18" s="1"/>
  <c r="L146" i="18" s="1"/>
  <c r="I182" i="18"/>
  <c r="J182" i="18" s="1"/>
  <c r="L182" i="18" s="1"/>
  <c r="I161" i="18"/>
  <c r="J161" i="18" s="1"/>
  <c r="L161" i="18" s="1"/>
  <c r="I110" i="18"/>
  <c r="J110" i="18" s="1"/>
  <c r="L110" i="18" s="1"/>
  <c r="I93" i="18"/>
  <c r="J93" i="18" s="1"/>
  <c r="L93" i="18" s="1"/>
  <c r="I200" i="18"/>
  <c r="J200" i="18" s="1"/>
  <c r="L200" i="18" s="1"/>
  <c r="I195" i="18"/>
  <c r="J195" i="18" s="1"/>
  <c r="L195" i="18" s="1"/>
  <c r="I120" i="18"/>
  <c r="J120" i="18" s="1"/>
  <c r="L120" i="18" s="1"/>
  <c r="I144" i="18"/>
  <c r="J144" i="18" s="1"/>
  <c r="L144" i="18" s="1"/>
  <c r="I55" i="18"/>
  <c r="J55" i="18" s="1"/>
  <c r="L55" i="18" s="1"/>
  <c r="I165" i="18"/>
  <c r="J165" i="18" s="1"/>
  <c r="L165" i="18" s="1"/>
  <c r="I61" i="18"/>
  <c r="J61" i="18" s="1"/>
  <c r="L61" i="18" s="1"/>
  <c r="I173" i="18"/>
  <c r="J173" i="18" s="1"/>
  <c r="L173" i="18" s="1"/>
  <c r="I170" i="18"/>
  <c r="J170" i="18" s="1"/>
  <c r="L170" i="18" s="1"/>
  <c r="I103" i="18"/>
  <c r="J103" i="18" s="1"/>
  <c r="L103" i="18" s="1"/>
  <c r="I89" i="18"/>
  <c r="J89" i="18" s="1"/>
  <c r="L89" i="18" s="1"/>
  <c r="I112" i="18"/>
  <c r="J112" i="18" s="1"/>
  <c r="L112" i="18" s="1"/>
  <c r="I85" i="18"/>
  <c r="J85" i="18" s="1"/>
  <c r="L85" i="18" s="1"/>
  <c r="I44" i="18"/>
  <c r="J44" i="18" s="1"/>
  <c r="L44" i="18" s="1"/>
  <c r="I69" i="18"/>
  <c r="J69" i="18" s="1"/>
  <c r="L69" i="18" s="1"/>
  <c r="I163" i="18"/>
  <c r="J163" i="18" s="1"/>
  <c r="L163" i="18" s="1"/>
  <c r="I191" i="18"/>
  <c r="J191" i="18" s="1"/>
  <c r="L191" i="18" s="1"/>
  <c r="I21" i="18"/>
  <c r="J21" i="18" s="1"/>
  <c r="L21" i="18" s="1"/>
  <c r="I95" i="18"/>
  <c r="J95" i="18" s="1"/>
  <c r="L95" i="18" s="1"/>
  <c r="I138" i="18"/>
  <c r="J138" i="18" s="1"/>
  <c r="L138" i="18" s="1"/>
  <c r="I192" i="18"/>
  <c r="J192" i="18" s="1"/>
  <c r="L192" i="18" s="1"/>
  <c r="I86" i="18"/>
  <c r="J86" i="18" s="1"/>
  <c r="L86" i="18" s="1"/>
  <c r="I58" i="18"/>
  <c r="J58" i="18" s="1"/>
  <c r="L58" i="18" s="1"/>
  <c r="I193" i="18"/>
  <c r="J193" i="18" s="1"/>
  <c r="L193" i="18" s="1"/>
  <c r="I141" i="18"/>
  <c r="J141" i="18" s="1"/>
  <c r="L141" i="18" s="1"/>
  <c r="I109" i="18"/>
  <c r="J109" i="18" s="1"/>
  <c r="L109" i="18" s="1"/>
  <c r="I185" i="18"/>
  <c r="J185" i="18" s="1"/>
  <c r="L185" i="18" s="1"/>
  <c r="I164" i="18"/>
  <c r="J164" i="18" s="1"/>
  <c r="L164" i="18" s="1"/>
  <c r="I208" i="18"/>
  <c r="J208" i="18" s="1"/>
  <c r="L208" i="18" s="1"/>
  <c r="I111" i="18"/>
  <c r="J111" i="18" s="1"/>
  <c r="L111" i="18" s="1"/>
  <c r="I135" i="18"/>
  <c r="J135" i="18" s="1"/>
  <c r="L135" i="18" s="1"/>
  <c r="I142" i="18"/>
  <c r="J142" i="18" s="1"/>
  <c r="L142" i="18" s="1"/>
  <c r="I79" i="18"/>
  <c r="J79" i="18" s="1"/>
  <c r="L79" i="18" s="1"/>
  <c r="I127" i="18"/>
  <c r="J127" i="18" s="1"/>
  <c r="L127" i="18" s="1"/>
  <c r="I63" i="18"/>
  <c r="J63" i="18" s="1"/>
  <c r="L63" i="18" s="1"/>
  <c r="I209" i="18"/>
  <c r="J209" i="18" s="1"/>
  <c r="L209" i="18" s="1"/>
  <c r="I188" i="18"/>
  <c r="J188" i="18" s="1"/>
  <c r="L188" i="18" s="1"/>
  <c r="I38" i="18"/>
  <c r="J38" i="18" s="1"/>
  <c r="L38" i="18" s="1"/>
  <c r="I35" i="18"/>
  <c r="J35" i="18" s="1"/>
  <c r="L35" i="18" s="1"/>
  <c r="I168" i="18"/>
  <c r="J168" i="18" s="1"/>
  <c r="L168" i="18" s="1"/>
  <c r="I153" i="18"/>
  <c r="J153" i="18" s="1"/>
  <c r="L153" i="18" s="1"/>
  <c r="I116" i="18"/>
  <c r="J116" i="18" s="1"/>
  <c r="L116" i="18" s="1"/>
  <c r="I122" i="18"/>
  <c r="J122" i="18" s="1"/>
  <c r="L122" i="18" s="1"/>
  <c r="I78" i="18"/>
  <c r="J78" i="18" s="1"/>
  <c r="L78" i="18" s="1"/>
  <c r="I184" i="18"/>
  <c r="J184" i="18" s="1"/>
  <c r="L184" i="18" s="1"/>
  <c r="I56" i="18"/>
  <c r="J56" i="18" s="1"/>
  <c r="I171" i="18"/>
  <c r="J171" i="18" s="1"/>
  <c r="L171" i="18" s="1"/>
  <c r="I149" i="18"/>
  <c r="J149" i="18" s="1"/>
  <c r="L149" i="18" s="1"/>
  <c r="I105" i="18"/>
  <c r="J105" i="18" s="1"/>
  <c r="L105" i="18" s="1"/>
  <c r="F14" i="29"/>
  <c r="I54" i="18"/>
  <c r="J54" i="18" s="1"/>
  <c r="L54" i="18" s="1"/>
  <c r="I174" i="18"/>
  <c r="J174" i="18" s="1"/>
  <c r="L174" i="18" s="1"/>
  <c r="I33" i="18"/>
  <c r="J33" i="18" s="1"/>
  <c r="L33" i="18" s="1"/>
  <c r="I27" i="18"/>
  <c r="J27" i="18" s="1"/>
  <c r="L27" i="18" s="1"/>
  <c r="I94" i="18"/>
  <c r="J94" i="18" s="1"/>
  <c r="L94" i="18" s="1"/>
  <c r="I133" i="18"/>
  <c r="J133" i="18" s="1"/>
  <c r="L133" i="18" s="1"/>
  <c r="I154" i="18"/>
  <c r="J154" i="18" s="1"/>
  <c r="L154" i="18" s="1"/>
  <c r="I130" i="18"/>
  <c r="J130" i="18" s="1"/>
  <c r="L130" i="18" s="1"/>
  <c r="I189" i="18"/>
  <c r="J189" i="18" s="1"/>
  <c r="L189" i="18" s="1"/>
  <c r="I210" i="18"/>
  <c r="J210" i="18" s="1"/>
  <c r="L210" i="18" s="1"/>
  <c r="I137" i="18"/>
  <c r="J137" i="18" s="1"/>
  <c r="L137" i="18" s="1"/>
  <c r="I115" i="18"/>
  <c r="J115" i="18" s="1"/>
  <c r="L115" i="18" s="1"/>
  <c r="I126" i="18"/>
  <c r="J126" i="18" s="1"/>
  <c r="L126" i="18" s="1"/>
  <c r="I169" i="18"/>
  <c r="J169" i="18" s="1"/>
  <c r="L169" i="18" s="1"/>
  <c r="I152" i="18"/>
  <c r="J152" i="18" s="1"/>
  <c r="L152" i="18" s="1"/>
  <c r="I151" i="18"/>
  <c r="J151" i="18" s="1"/>
  <c r="L151" i="18" s="1"/>
  <c r="I181" i="18"/>
  <c r="J181" i="18" s="1"/>
  <c r="L181" i="18" s="1"/>
  <c r="I42" i="18"/>
  <c r="J42" i="18" s="1"/>
  <c r="L42" i="18" s="1"/>
  <c r="I36" i="18"/>
  <c r="J36" i="18" s="1"/>
  <c r="L36" i="18" s="1"/>
  <c r="I204" i="18"/>
  <c r="J204" i="18" s="1"/>
  <c r="L204" i="18" s="1"/>
  <c r="I88" i="18"/>
  <c r="J88" i="18" s="1"/>
  <c r="L88" i="18" s="1"/>
  <c r="I83" i="18"/>
  <c r="J83" i="18" s="1"/>
  <c r="L83" i="18" s="1"/>
  <c r="I102" i="18"/>
  <c r="J102" i="18" s="1"/>
  <c r="L102" i="18" s="1"/>
  <c r="I177" i="18"/>
  <c r="J177" i="18" s="1"/>
  <c r="L177" i="18" s="1"/>
  <c r="I32" i="18"/>
  <c r="J32" i="18" s="1"/>
  <c r="L32" i="18" s="1"/>
  <c r="I50" i="18"/>
  <c r="J50" i="18" s="1"/>
  <c r="L50" i="18" s="1"/>
  <c r="I101" i="18"/>
  <c r="J101" i="18" s="1"/>
  <c r="L101" i="18" s="1"/>
  <c r="I160" i="18"/>
  <c r="J160" i="18" s="1"/>
  <c r="L160" i="18" s="1"/>
  <c r="I104" i="18"/>
  <c r="J104" i="18" s="1"/>
  <c r="L104" i="18" s="1"/>
  <c r="I198" i="18"/>
  <c r="J198" i="18" s="1"/>
  <c r="L198" i="18" s="1"/>
  <c r="I205" i="18"/>
  <c r="J205" i="18" s="1"/>
  <c r="L205" i="18" s="1"/>
  <c r="I70" i="18"/>
  <c r="J70" i="18" s="1"/>
  <c r="L70" i="18" s="1"/>
  <c r="I155" i="18"/>
  <c r="J155" i="18" s="1"/>
  <c r="L155" i="18" s="1"/>
  <c r="I197" i="18"/>
  <c r="J197" i="18" s="1"/>
  <c r="L197" i="18" s="1"/>
  <c r="I91" i="18"/>
  <c r="J91" i="18" s="1"/>
  <c r="L91" i="18" s="1"/>
  <c r="I66" i="18"/>
  <c r="J66" i="18" s="1"/>
  <c r="L66" i="18" s="1"/>
  <c r="I71" i="18"/>
  <c r="J71" i="18" s="1"/>
  <c r="L71" i="18" s="1"/>
  <c r="I67" i="18"/>
  <c r="J67" i="18" s="1"/>
  <c r="L67" i="18" s="1"/>
  <c r="I47" i="18"/>
  <c r="J47" i="18" s="1"/>
  <c r="L47" i="18" s="1"/>
  <c r="I107" i="18"/>
  <c r="J107" i="18" s="1"/>
  <c r="L107" i="18" s="1"/>
  <c r="I96" i="18"/>
  <c r="J96" i="18" s="1"/>
  <c r="L96" i="18" s="1"/>
  <c r="I136" i="18"/>
  <c r="J136" i="18" s="1"/>
  <c r="L136" i="18" s="1"/>
  <c r="I77" i="18"/>
  <c r="J77" i="18" s="1"/>
  <c r="L77" i="18" s="1"/>
  <c r="I100" i="18"/>
  <c r="J100" i="18" s="1"/>
  <c r="L100" i="18" s="1"/>
  <c r="I113" i="18"/>
  <c r="J113" i="18" s="1"/>
  <c r="L113" i="18" s="1"/>
  <c r="I57" i="18"/>
  <c r="J57" i="18" s="1"/>
  <c r="L57" i="18" s="1"/>
  <c r="I125" i="18"/>
  <c r="J125" i="18" s="1"/>
  <c r="L125" i="18" s="1"/>
  <c r="I20" i="18"/>
  <c r="J20" i="18" s="1"/>
  <c r="I108" i="18"/>
  <c r="J108" i="18" s="1"/>
  <c r="L108" i="18" s="1"/>
  <c r="I52" i="18"/>
  <c r="J52" i="18" s="1"/>
  <c r="L52" i="18" s="1"/>
  <c r="I114" i="18"/>
  <c r="J114" i="18" s="1"/>
  <c r="L114" i="18" s="1"/>
  <c r="I43" i="18"/>
  <c r="J43" i="18" s="1"/>
  <c r="L43" i="18" s="1"/>
  <c r="I23" i="18"/>
  <c r="J23" i="18" s="1"/>
  <c r="L23" i="18" s="1"/>
  <c r="I159" i="18"/>
  <c r="J159" i="18" s="1"/>
  <c r="L159" i="18" s="1"/>
  <c r="I82" i="18"/>
  <c r="J82" i="18" s="1"/>
  <c r="L82" i="18" s="1"/>
  <c r="I46" i="18"/>
  <c r="J46" i="18" s="1"/>
  <c r="L46" i="18" s="1"/>
  <c r="I121" i="18"/>
  <c r="J121" i="18" s="1"/>
  <c r="L121" i="18" s="1"/>
  <c r="I180" i="18"/>
  <c r="J180" i="18" s="1"/>
  <c r="L180" i="18" s="1"/>
  <c r="I119" i="18"/>
  <c r="J119" i="18" s="1"/>
  <c r="L119" i="18" s="1"/>
  <c r="I139" i="18"/>
  <c r="J139" i="18" s="1"/>
  <c r="L139" i="18" s="1"/>
  <c r="I201" i="18"/>
  <c r="J201" i="18" s="1"/>
  <c r="L201" i="18" s="1"/>
  <c r="I73" i="18"/>
  <c r="J73" i="18" s="1"/>
  <c r="L73" i="18" s="1"/>
  <c r="I39" i="18"/>
  <c r="J39" i="18" s="1"/>
  <c r="L39" i="18" s="1"/>
  <c r="I207" i="18"/>
  <c r="J207" i="18" s="1"/>
  <c r="L207" i="18" s="1"/>
  <c r="I87" i="18"/>
  <c r="J87" i="18" s="1"/>
  <c r="L87" i="18" s="1"/>
  <c r="I37" i="18"/>
  <c r="J37" i="18" s="1"/>
  <c r="L37" i="18" s="1"/>
  <c r="I124" i="18"/>
  <c r="J124" i="18" s="1"/>
  <c r="L124" i="18" s="1"/>
  <c r="I211" i="18"/>
  <c r="J211" i="18" s="1"/>
  <c r="L211" i="18" s="1"/>
  <c r="I183" i="18"/>
  <c r="J183" i="18" s="1"/>
  <c r="L183" i="18" s="1"/>
  <c r="I150" i="18"/>
  <c r="J150" i="18" s="1"/>
  <c r="L150" i="18" s="1"/>
  <c r="I162" i="18"/>
  <c r="J162" i="18" s="1"/>
  <c r="L162" i="18" s="1"/>
  <c r="I31" i="18"/>
  <c r="J31" i="18" s="1"/>
  <c r="L31" i="18" s="1"/>
  <c r="I106" i="18"/>
  <c r="J106" i="18" s="1"/>
  <c r="L106" i="18" s="1"/>
  <c r="I132" i="18"/>
  <c r="J132" i="18" s="1"/>
  <c r="L132" i="18" s="1"/>
  <c r="I84" i="18"/>
  <c r="J84" i="18" s="1"/>
  <c r="L84" i="18" s="1"/>
  <c r="I140" i="18"/>
  <c r="J140" i="18" s="1"/>
  <c r="L140" i="18" s="1"/>
  <c r="I64" i="18"/>
  <c r="J64" i="18" s="1"/>
  <c r="L64" i="18" s="1"/>
  <c r="I131" i="18"/>
  <c r="J131" i="18" s="1"/>
  <c r="L131" i="18" s="1"/>
  <c r="I179" i="18"/>
  <c r="J179" i="18" s="1"/>
  <c r="L179" i="18" s="1"/>
  <c r="I175" i="18"/>
  <c r="J175" i="18" s="1"/>
  <c r="L175" i="18" s="1"/>
  <c r="I22" i="18"/>
  <c r="J22" i="18" s="1"/>
  <c r="L22" i="18" s="1"/>
  <c r="I40" i="18"/>
  <c r="J40" i="18" s="1"/>
  <c r="L40" i="18" s="1"/>
  <c r="I72" i="18"/>
  <c r="J72" i="18" s="1"/>
  <c r="L72" i="18" s="1"/>
  <c r="I98" i="18"/>
  <c r="J98" i="18" s="1"/>
  <c r="L98" i="18" s="1"/>
  <c r="I65" i="18"/>
  <c r="J65" i="18" s="1"/>
  <c r="L65" i="18" s="1"/>
  <c r="I118" i="18"/>
  <c r="J118" i="18" s="1"/>
  <c r="L118" i="18" s="1"/>
  <c r="I90" i="18"/>
  <c r="J90" i="18" s="1"/>
  <c r="L90" i="18" s="1"/>
  <c r="I60" i="18"/>
  <c r="J60" i="18" s="1"/>
  <c r="L60" i="18" s="1"/>
  <c r="I25" i="18"/>
  <c r="J25" i="18" s="1"/>
  <c r="L25" i="18" s="1"/>
  <c r="I202" i="18"/>
  <c r="J202" i="18" s="1"/>
  <c r="L202" i="18" s="1"/>
  <c r="I28" i="18"/>
  <c r="J28" i="18" s="1"/>
  <c r="L28" i="18" s="1"/>
  <c r="I48" i="18"/>
  <c r="J48" i="18" s="1"/>
  <c r="L48" i="18" s="1"/>
  <c r="I196" i="18"/>
  <c r="J196" i="18" s="1"/>
  <c r="L196" i="18" s="1"/>
  <c r="I145" i="18"/>
  <c r="J145" i="18" s="1"/>
  <c r="L145" i="18" s="1"/>
  <c r="I128" i="18"/>
  <c r="J128" i="18" s="1"/>
  <c r="L128" i="18" s="1"/>
  <c r="I75" i="18"/>
  <c r="J75" i="18" s="1"/>
  <c r="L75" i="18" s="1"/>
  <c r="I172" i="18"/>
  <c r="J172" i="18" s="1"/>
  <c r="L172" i="18" s="1"/>
  <c r="I97" i="18"/>
  <c r="J97" i="18" s="1"/>
  <c r="L97" i="18" s="1"/>
  <c r="I157" i="18"/>
  <c r="J157" i="18" s="1"/>
  <c r="L157" i="18" s="1"/>
  <c r="I194" i="18"/>
  <c r="J194" i="18" s="1"/>
  <c r="L194" i="18" s="1"/>
  <c r="I59" i="18"/>
  <c r="J59" i="18" s="1"/>
  <c r="L59" i="18" s="1"/>
  <c r="I49" i="18"/>
  <c r="J49" i="18" s="1"/>
  <c r="L49" i="18" s="1"/>
  <c r="I92" i="18"/>
  <c r="J92" i="18" s="1"/>
  <c r="L92" i="18" s="1"/>
  <c r="I29" i="18"/>
  <c r="J29" i="18" s="1"/>
  <c r="L29" i="18" s="1"/>
  <c r="L20" i="18" l="1"/>
  <c r="J212" i="18"/>
  <c r="J14" i="18"/>
  <c r="J13" i="18"/>
  <c r="L56" i="18"/>
  <c r="L13" i="18" l="1"/>
  <c r="L212" i="18"/>
  <c r="L14" i="18"/>
  <c r="M21" i="18" l="1"/>
  <c r="N21" i="18" s="1"/>
  <c r="R21" i="18" s="1"/>
  <c r="M97" i="18"/>
  <c r="N97" i="18" s="1"/>
  <c r="R97" i="18" s="1"/>
  <c r="M53" i="18"/>
  <c r="N53" i="18" s="1"/>
  <c r="R53" i="18" s="1"/>
  <c r="M83" i="18"/>
  <c r="N83" i="18" s="1"/>
  <c r="R83" i="18" s="1"/>
  <c r="M74" i="18"/>
  <c r="N74" i="18" s="1"/>
  <c r="R74" i="18" s="1"/>
  <c r="M80" i="18"/>
  <c r="N80" i="18" s="1"/>
  <c r="R80" i="18" s="1"/>
  <c r="M198" i="18"/>
  <c r="N198" i="18" s="1"/>
  <c r="R198" i="18" s="1"/>
  <c r="M42" i="18"/>
  <c r="N42" i="18" s="1"/>
  <c r="R42" i="18" s="1"/>
  <c r="M188" i="18"/>
  <c r="N188" i="18" s="1"/>
  <c r="R188" i="18" s="1"/>
  <c r="M51" i="18"/>
  <c r="N51" i="18" s="1"/>
  <c r="R51" i="18" s="1"/>
  <c r="M159" i="18"/>
  <c r="N159" i="18" s="1"/>
  <c r="R159" i="18" s="1"/>
  <c r="M111" i="18"/>
  <c r="N111" i="18" s="1"/>
  <c r="R111" i="18" s="1"/>
  <c r="M78" i="18"/>
  <c r="N78" i="18" s="1"/>
  <c r="R78" i="18" s="1"/>
  <c r="M199" i="18"/>
  <c r="N199" i="18" s="1"/>
  <c r="R199" i="18" s="1"/>
  <c r="M206" i="18"/>
  <c r="N206" i="18" s="1"/>
  <c r="R206" i="18" s="1"/>
  <c r="M91" i="18"/>
  <c r="N91" i="18" s="1"/>
  <c r="R91" i="18" s="1"/>
  <c r="M210" i="18"/>
  <c r="N210" i="18" s="1"/>
  <c r="R210" i="18" s="1"/>
  <c r="M58" i="18"/>
  <c r="N58" i="18" s="1"/>
  <c r="R58" i="18" s="1"/>
  <c r="M44" i="18"/>
  <c r="N44" i="18" s="1"/>
  <c r="R44" i="18" s="1"/>
  <c r="M190" i="18"/>
  <c r="N190" i="18" s="1"/>
  <c r="R190" i="18" s="1"/>
  <c r="M65" i="18"/>
  <c r="N65" i="18" s="1"/>
  <c r="R65" i="18" s="1"/>
  <c r="M171" i="18"/>
  <c r="N171" i="18" s="1"/>
  <c r="R171" i="18" s="1"/>
  <c r="M29" i="18"/>
  <c r="N29" i="18" s="1"/>
  <c r="R29" i="18" s="1"/>
  <c r="M87" i="18"/>
  <c r="N87" i="18" s="1"/>
  <c r="R87" i="18" s="1"/>
  <c r="M72" i="18"/>
  <c r="N72" i="18" s="1"/>
  <c r="R72" i="18" s="1"/>
  <c r="M122" i="18"/>
  <c r="N122" i="18" s="1"/>
  <c r="R122" i="18" s="1"/>
  <c r="M27" i="18"/>
  <c r="N27" i="18" s="1"/>
  <c r="R27" i="18" s="1"/>
  <c r="M168" i="18"/>
  <c r="N168" i="18" s="1"/>
  <c r="R168" i="18" s="1"/>
  <c r="M136" i="18"/>
  <c r="N136" i="18" s="1"/>
  <c r="R136" i="18" s="1"/>
  <c r="M131" i="18"/>
  <c r="N131" i="18" s="1"/>
  <c r="R131" i="18" s="1"/>
  <c r="M105" i="18"/>
  <c r="N105" i="18" s="1"/>
  <c r="R105" i="18" s="1"/>
  <c r="M123" i="18"/>
  <c r="N123" i="18" s="1"/>
  <c r="R123" i="18" s="1"/>
  <c r="M103" i="18"/>
  <c r="N103" i="18" s="1"/>
  <c r="R103" i="18" s="1"/>
  <c r="M119" i="18"/>
  <c r="N119" i="18" s="1"/>
  <c r="R119" i="18" s="1"/>
  <c r="M24" i="18"/>
  <c r="N24" i="18" s="1"/>
  <c r="R24" i="18" s="1"/>
  <c r="M191" i="18"/>
  <c r="N191" i="18" s="1"/>
  <c r="R191" i="18" s="1"/>
  <c r="M189" i="18"/>
  <c r="N189" i="18" s="1"/>
  <c r="R189" i="18" s="1"/>
  <c r="M211" i="18"/>
  <c r="N211" i="18" s="1"/>
  <c r="R211" i="18" s="1"/>
  <c r="M60" i="18"/>
  <c r="N60" i="18" s="1"/>
  <c r="R60" i="18" s="1"/>
  <c r="M69" i="18"/>
  <c r="N69" i="18" s="1"/>
  <c r="R69" i="18" s="1"/>
  <c r="M178" i="18"/>
  <c r="N178" i="18" s="1"/>
  <c r="R178" i="18" s="1"/>
  <c r="M113" i="18"/>
  <c r="N113" i="18" s="1"/>
  <c r="R113" i="18" s="1"/>
  <c r="M56" i="18"/>
  <c r="M207" i="18"/>
  <c r="N207" i="18" s="1"/>
  <c r="R207" i="18" s="1"/>
  <c r="M208" i="18"/>
  <c r="N208" i="18" s="1"/>
  <c r="R208" i="18" s="1"/>
  <c r="M194" i="18"/>
  <c r="N194" i="18" s="1"/>
  <c r="R194" i="18" s="1"/>
  <c r="M174" i="18"/>
  <c r="N174" i="18" s="1"/>
  <c r="R174" i="18" s="1"/>
  <c r="M33" i="18"/>
  <c r="N33" i="18" s="1"/>
  <c r="R33" i="18" s="1"/>
  <c r="M102" i="18"/>
  <c r="N102" i="18" s="1"/>
  <c r="R102" i="18" s="1"/>
  <c r="M88" i="18"/>
  <c r="N88" i="18" s="1"/>
  <c r="R88" i="18" s="1"/>
  <c r="M67" i="18"/>
  <c r="N67" i="18" s="1"/>
  <c r="R67" i="18" s="1"/>
  <c r="M197" i="18"/>
  <c r="N197" i="18" s="1"/>
  <c r="R197" i="18" s="1"/>
  <c r="M81" i="18"/>
  <c r="N81" i="18" s="1"/>
  <c r="R81" i="18" s="1"/>
  <c r="M138" i="18"/>
  <c r="N138" i="18" s="1"/>
  <c r="R138" i="18" s="1"/>
  <c r="M161" i="18"/>
  <c r="N161" i="18" s="1"/>
  <c r="R161" i="18" s="1"/>
  <c r="M89" i="18"/>
  <c r="N89" i="18" s="1"/>
  <c r="R89" i="18" s="1"/>
  <c r="M205" i="18"/>
  <c r="N205" i="18" s="1"/>
  <c r="R205" i="18" s="1"/>
  <c r="M76" i="18"/>
  <c r="N76" i="18" s="1"/>
  <c r="R76" i="18" s="1"/>
  <c r="M184" i="18"/>
  <c r="N184" i="18" s="1"/>
  <c r="R184" i="18" s="1"/>
  <c r="M84" i="18"/>
  <c r="N84" i="18" s="1"/>
  <c r="R84" i="18" s="1"/>
  <c r="M117" i="18"/>
  <c r="N117" i="18" s="1"/>
  <c r="R117" i="18" s="1"/>
  <c r="M70" i="18"/>
  <c r="N70" i="18" s="1"/>
  <c r="R70" i="18" s="1"/>
  <c r="M62" i="18"/>
  <c r="N62" i="18" s="1"/>
  <c r="R62" i="18" s="1"/>
  <c r="M46" i="18"/>
  <c r="N46" i="18" s="1"/>
  <c r="R46" i="18" s="1"/>
  <c r="M93" i="18"/>
  <c r="N93" i="18" s="1"/>
  <c r="R93" i="18" s="1"/>
  <c r="M26" i="18"/>
  <c r="N26" i="18" s="1"/>
  <c r="R26" i="18" s="1"/>
  <c r="M30" i="18"/>
  <c r="N30" i="18" s="1"/>
  <c r="R30" i="18" s="1"/>
  <c r="M193" i="18"/>
  <c r="N193" i="18" s="1"/>
  <c r="R193" i="18" s="1"/>
  <c r="M108" i="18"/>
  <c r="N108" i="18" s="1"/>
  <c r="R108" i="18" s="1"/>
  <c r="M166" i="18"/>
  <c r="N166" i="18" s="1"/>
  <c r="R166" i="18" s="1"/>
  <c r="M128" i="18"/>
  <c r="N128" i="18" s="1"/>
  <c r="R128" i="18" s="1"/>
  <c r="M152" i="18"/>
  <c r="N152" i="18" s="1"/>
  <c r="R152" i="18" s="1"/>
  <c r="M95" i="18"/>
  <c r="N95" i="18" s="1"/>
  <c r="R95" i="18" s="1"/>
  <c r="M150" i="18"/>
  <c r="N150" i="18" s="1"/>
  <c r="R150" i="18" s="1"/>
  <c r="M86" i="18"/>
  <c r="N86" i="18" s="1"/>
  <c r="R86" i="18" s="1"/>
  <c r="M90" i="18"/>
  <c r="N90" i="18" s="1"/>
  <c r="R90" i="18" s="1"/>
  <c r="M181" i="18"/>
  <c r="N181" i="18" s="1"/>
  <c r="R181" i="18" s="1"/>
  <c r="M132" i="18"/>
  <c r="N132" i="18" s="1"/>
  <c r="R132" i="18" s="1"/>
  <c r="M148" i="18"/>
  <c r="N148" i="18" s="1"/>
  <c r="R148" i="18" s="1"/>
  <c r="M22" i="18"/>
  <c r="N22" i="18" s="1"/>
  <c r="R22" i="18" s="1"/>
  <c r="M172" i="18"/>
  <c r="N172" i="18" s="1"/>
  <c r="R172" i="18" s="1"/>
  <c r="M32" i="18"/>
  <c r="N32" i="18" s="1"/>
  <c r="R32" i="18" s="1"/>
  <c r="M135" i="18"/>
  <c r="N135" i="18" s="1"/>
  <c r="R135" i="18" s="1"/>
  <c r="M114" i="18"/>
  <c r="N114" i="18" s="1"/>
  <c r="R114" i="18" s="1"/>
  <c r="M115" i="18"/>
  <c r="N115" i="18" s="1"/>
  <c r="R115" i="18" s="1"/>
  <c r="M125" i="18"/>
  <c r="N125" i="18" s="1"/>
  <c r="R125" i="18" s="1"/>
  <c r="M28" i="18"/>
  <c r="N28" i="18" s="1"/>
  <c r="R28" i="18" s="1"/>
  <c r="M47" i="18"/>
  <c r="N47" i="18" s="1"/>
  <c r="R47" i="18" s="1"/>
  <c r="M176" i="18"/>
  <c r="N176" i="18" s="1"/>
  <c r="R176" i="18" s="1"/>
  <c r="M50" i="18"/>
  <c r="N50" i="18" s="1"/>
  <c r="R50" i="18" s="1"/>
  <c r="M35" i="18"/>
  <c r="N35" i="18" s="1"/>
  <c r="R35" i="18" s="1"/>
  <c r="M196" i="18"/>
  <c r="N196" i="18" s="1"/>
  <c r="R196" i="18" s="1"/>
  <c r="M173" i="18"/>
  <c r="N173" i="18" s="1"/>
  <c r="R173" i="18" s="1"/>
  <c r="M100" i="18"/>
  <c r="N100" i="18" s="1"/>
  <c r="R100" i="18" s="1"/>
  <c r="M68" i="18"/>
  <c r="N68" i="18" s="1"/>
  <c r="R68" i="18" s="1"/>
  <c r="M143" i="18"/>
  <c r="N143" i="18" s="1"/>
  <c r="R143" i="18" s="1"/>
  <c r="M75" i="18"/>
  <c r="N75" i="18" s="1"/>
  <c r="R75" i="18" s="1"/>
  <c r="M167" i="18"/>
  <c r="N167" i="18" s="1"/>
  <c r="R167" i="18" s="1"/>
  <c r="M139" i="18"/>
  <c r="N139" i="18" s="1"/>
  <c r="R139" i="18" s="1"/>
  <c r="M43" i="18"/>
  <c r="N43" i="18" s="1"/>
  <c r="R43" i="18" s="1"/>
  <c r="M187" i="18"/>
  <c r="N187" i="18" s="1"/>
  <c r="R187" i="18" s="1"/>
  <c r="M149" i="18"/>
  <c r="N149" i="18" s="1"/>
  <c r="R149" i="18" s="1"/>
  <c r="M112" i="18"/>
  <c r="N112" i="18" s="1"/>
  <c r="R112" i="18" s="1"/>
  <c r="M61" i="18"/>
  <c r="N61" i="18" s="1"/>
  <c r="R61" i="18" s="1"/>
  <c r="M141" i="18"/>
  <c r="N141" i="18" s="1"/>
  <c r="R141" i="18" s="1"/>
  <c r="M203" i="18"/>
  <c r="N203" i="18" s="1"/>
  <c r="R203" i="18" s="1"/>
  <c r="M55" i="18"/>
  <c r="N55" i="18" s="1"/>
  <c r="R55" i="18" s="1"/>
  <c r="M209" i="18"/>
  <c r="N209" i="18" s="1"/>
  <c r="R209" i="18" s="1"/>
  <c r="M163" i="18"/>
  <c r="N163" i="18" s="1"/>
  <c r="R163" i="18" s="1"/>
  <c r="M73" i="18"/>
  <c r="N73" i="18" s="1"/>
  <c r="R73" i="18" s="1"/>
  <c r="M155" i="18"/>
  <c r="N155" i="18" s="1"/>
  <c r="R155" i="18" s="1"/>
  <c r="M164" i="18"/>
  <c r="N164" i="18" s="1"/>
  <c r="R164" i="18" s="1"/>
  <c r="M64" i="18"/>
  <c r="N64" i="18" s="1"/>
  <c r="R64" i="18" s="1"/>
  <c r="M94" i="18"/>
  <c r="N94" i="18" s="1"/>
  <c r="R94" i="18" s="1"/>
  <c r="M156" i="18"/>
  <c r="N156" i="18" s="1"/>
  <c r="R156" i="18" s="1"/>
  <c r="M126" i="18"/>
  <c r="N126" i="18" s="1"/>
  <c r="R126" i="18" s="1"/>
  <c r="M200" i="18"/>
  <c r="N200" i="18" s="1"/>
  <c r="R200" i="18" s="1"/>
  <c r="M116" i="18"/>
  <c r="N116" i="18" s="1"/>
  <c r="R116" i="18" s="1"/>
  <c r="M204" i="18"/>
  <c r="N204" i="18" s="1"/>
  <c r="R204" i="18" s="1"/>
  <c r="M79" i="18"/>
  <c r="N79" i="18" s="1"/>
  <c r="R79" i="18" s="1"/>
  <c r="M85" i="18"/>
  <c r="N85" i="18" s="1"/>
  <c r="R85" i="18" s="1"/>
  <c r="M162" i="18"/>
  <c r="N162" i="18" s="1"/>
  <c r="R162" i="18" s="1"/>
  <c r="M104" i="18"/>
  <c r="N104" i="18" s="1"/>
  <c r="R104" i="18" s="1"/>
  <c r="M59" i="18"/>
  <c r="N59" i="18" s="1"/>
  <c r="R59" i="18" s="1"/>
  <c r="M52" i="18"/>
  <c r="N52" i="18" s="1"/>
  <c r="R52" i="18" s="1"/>
  <c r="M134" i="18"/>
  <c r="N134" i="18" s="1"/>
  <c r="R134" i="18" s="1"/>
  <c r="M66" i="18"/>
  <c r="N66" i="18" s="1"/>
  <c r="R66" i="18" s="1"/>
  <c r="M41" i="18"/>
  <c r="N41" i="18" s="1"/>
  <c r="R41" i="18" s="1"/>
  <c r="M23" i="18"/>
  <c r="N23" i="18" s="1"/>
  <c r="R23" i="18" s="1"/>
  <c r="M37" i="18"/>
  <c r="N37" i="18" s="1"/>
  <c r="R37" i="18" s="1"/>
  <c r="M109" i="18"/>
  <c r="N109" i="18" s="1"/>
  <c r="R109" i="18" s="1"/>
  <c r="M36" i="18"/>
  <c r="N36" i="18" s="1"/>
  <c r="R36" i="18" s="1"/>
  <c r="M202" i="18"/>
  <c r="N202" i="18" s="1"/>
  <c r="R202" i="18" s="1"/>
  <c r="M98" i="18"/>
  <c r="N98" i="18" s="1"/>
  <c r="R98" i="18" s="1"/>
  <c r="M137" i="18"/>
  <c r="N137" i="18" s="1"/>
  <c r="R137" i="18" s="1"/>
  <c r="M195" i="18"/>
  <c r="N195" i="18" s="1"/>
  <c r="R195" i="18" s="1"/>
  <c r="M185" i="18"/>
  <c r="N185" i="18" s="1"/>
  <c r="R185" i="18" s="1"/>
  <c r="M96" i="18"/>
  <c r="N96" i="18" s="1"/>
  <c r="R96" i="18" s="1"/>
  <c r="M20" i="18"/>
  <c r="M110" i="18"/>
  <c r="N110" i="18" s="1"/>
  <c r="R110" i="18" s="1"/>
  <c r="M63" i="18"/>
  <c r="N63" i="18" s="1"/>
  <c r="R63" i="18" s="1"/>
  <c r="M106" i="18"/>
  <c r="N106" i="18" s="1"/>
  <c r="R106" i="18" s="1"/>
  <c r="M39" i="18"/>
  <c r="N39" i="18" s="1"/>
  <c r="R39" i="18" s="1"/>
  <c r="M40" i="18"/>
  <c r="N40" i="18" s="1"/>
  <c r="R40" i="18" s="1"/>
  <c r="M201" i="18"/>
  <c r="N201" i="18" s="1"/>
  <c r="R201" i="18" s="1"/>
  <c r="M121" i="18"/>
  <c r="N121" i="18" s="1"/>
  <c r="R121" i="18" s="1"/>
  <c r="M34" i="18"/>
  <c r="N34" i="18" s="1"/>
  <c r="R34" i="18" s="1"/>
  <c r="M99" i="18"/>
  <c r="N99" i="18" s="1"/>
  <c r="R99" i="18" s="1"/>
  <c r="M120" i="18"/>
  <c r="N120" i="18" s="1"/>
  <c r="R120" i="18" s="1"/>
  <c r="M157" i="18"/>
  <c r="N157" i="18" s="1"/>
  <c r="R157" i="18" s="1"/>
  <c r="M154" i="18"/>
  <c r="N154" i="18" s="1"/>
  <c r="R154" i="18" s="1"/>
  <c r="M25" i="18"/>
  <c r="N25" i="18" s="1"/>
  <c r="R25" i="18" s="1"/>
  <c r="M160" i="18"/>
  <c r="N160" i="18" s="1"/>
  <c r="R160" i="18" s="1"/>
  <c r="M170" i="18"/>
  <c r="N170" i="18" s="1"/>
  <c r="R170" i="18" s="1"/>
  <c r="M146" i="18"/>
  <c r="N146" i="18" s="1"/>
  <c r="R146" i="18" s="1"/>
  <c r="M31" i="18"/>
  <c r="N31" i="18" s="1"/>
  <c r="R31" i="18" s="1"/>
  <c r="M48" i="18"/>
  <c r="N48" i="18" s="1"/>
  <c r="R48" i="18" s="1"/>
  <c r="M182" i="18"/>
  <c r="N182" i="18" s="1"/>
  <c r="R182" i="18" s="1"/>
  <c r="M142" i="18"/>
  <c r="N142" i="18" s="1"/>
  <c r="R142" i="18" s="1"/>
  <c r="M101" i="18"/>
  <c r="N101" i="18" s="1"/>
  <c r="R101" i="18" s="1"/>
  <c r="M57" i="18"/>
  <c r="N57" i="18" s="1"/>
  <c r="R57" i="18" s="1"/>
  <c r="M54" i="18"/>
  <c r="N54" i="18" s="1"/>
  <c r="R54" i="18" s="1"/>
  <c r="M118" i="18"/>
  <c r="N118" i="18" s="1"/>
  <c r="R118" i="18" s="1"/>
  <c r="M124" i="18"/>
  <c r="N124" i="18" s="1"/>
  <c r="R124" i="18" s="1"/>
  <c r="M192" i="18"/>
  <c r="N192" i="18" s="1"/>
  <c r="R192" i="18" s="1"/>
  <c r="M38" i="18"/>
  <c r="N38" i="18" s="1"/>
  <c r="R38" i="18" s="1"/>
  <c r="M145" i="18"/>
  <c r="N145" i="18" s="1"/>
  <c r="R145" i="18" s="1"/>
  <c r="M82" i="18"/>
  <c r="N82" i="18" s="1"/>
  <c r="R82" i="18" s="1"/>
  <c r="M92" i="18"/>
  <c r="N92" i="18" s="1"/>
  <c r="R92" i="18" s="1"/>
  <c r="M133" i="18"/>
  <c r="N133" i="18" s="1"/>
  <c r="R133" i="18" s="1"/>
  <c r="M144" i="18"/>
  <c r="N144" i="18" s="1"/>
  <c r="R144" i="18" s="1"/>
  <c r="M45" i="18"/>
  <c r="N45" i="18" s="1"/>
  <c r="R45" i="18" s="1"/>
  <c r="M186" i="18"/>
  <c r="N186" i="18" s="1"/>
  <c r="R186" i="18" s="1"/>
  <c r="M183" i="18"/>
  <c r="N183" i="18" s="1"/>
  <c r="R183" i="18" s="1"/>
  <c r="M49" i="18"/>
  <c r="N49" i="18" s="1"/>
  <c r="R49" i="18" s="1"/>
  <c r="M140" i="18"/>
  <c r="N140" i="18" s="1"/>
  <c r="R140" i="18" s="1"/>
  <c r="M151" i="18"/>
  <c r="N151" i="18" s="1"/>
  <c r="R151" i="18" s="1"/>
  <c r="M127" i="18"/>
  <c r="N127" i="18" s="1"/>
  <c r="R127" i="18" s="1"/>
  <c r="M107" i="18"/>
  <c r="N107" i="18" s="1"/>
  <c r="R107" i="18" s="1"/>
  <c r="M71" i="18"/>
  <c r="N71" i="18" s="1"/>
  <c r="R71" i="18" s="1"/>
  <c r="M147" i="18"/>
  <c r="N147" i="18" s="1"/>
  <c r="R147" i="18" s="1"/>
  <c r="M153" i="18"/>
  <c r="N153" i="18" s="1"/>
  <c r="R153" i="18" s="1"/>
  <c r="M165" i="18"/>
  <c r="N165" i="18" s="1"/>
  <c r="R165" i="18" s="1"/>
  <c r="M175" i="18"/>
  <c r="N175" i="18" s="1"/>
  <c r="R175" i="18" s="1"/>
  <c r="M169" i="18"/>
  <c r="N169" i="18" s="1"/>
  <c r="R169" i="18" s="1"/>
  <c r="M130" i="18"/>
  <c r="N130" i="18" s="1"/>
  <c r="R130" i="18" s="1"/>
  <c r="M77" i="18"/>
  <c r="N77" i="18" s="1"/>
  <c r="R77" i="18" s="1"/>
  <c r="M180" i="18"/>
  <c r="N180" i="18" s="1"/>
  <c r="R180" i="18" s="1"/>
  <c r="M179" i="18"/>
  <c r="N179" i="18" s="1"/>
  <c r="R179" i="18" s="1"/>
  <c r="M158" i="18"/>
  <c r="N158" i="18" s="1"/>
  <c r="R158" i="18" s="1"/>
  <c r="M177" i="18"/>
  <c r="N177" i="18" s="1"/>
  <c r="R177" i="18" s="1"/>
  <c r="M129" i="18"/>
  <c r="N129" i="18" s="1"/>
  <c r="R129" i="18" s="1"/>
  <c r="M212" i="18" l="1"/>
  <c r="N20" i="18"/>
  <c r="M13" i="18"/>
  <c r="N56" i="18"/>
  <c r="R56" i="18" l="1"/>
  <c r="R13" i="18" s="1"/>
  <c r="N13" i="18"/>
  <c r="N14" i="18"/>
  <c r="R20" i="18"/>
  <c r="R212" i="18" l="1"/>
  <c r="R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<sst xmlns="http://schemas.openxmlformats.org/spreadsheetml/2006/main" count="422" uniqueCount="104">
  <si>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</si>
  <si>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</si>
  <si>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</si>
  <si>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</si>
  <si>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</si>
  <si>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</si>
  <si>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</si>
  <si>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</si>
  <si>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</si>
  <si>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</si>
  <si>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</si>
  <si>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</si>
  <si>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</si>
  <si>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</si>
  <si>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</si>
  <si>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</si>
  <si>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</si>
  <si>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</si>
  <si>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</si>
  <si>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</si>
  <si>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</si>
  <si>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</si>
  <si>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</si>
  <si>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</si>
  <si>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</si>
  <si>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</si>
  <si>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</si>
  <si>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</si>
  <si>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</si>
  <si>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</si>
  <si>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</si>
  <si>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</si>
  <si>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</si>
  <si>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</si>
  <si>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</si>
  <si>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</si>
  <si>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</si>
  <si>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</si>
  <si>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</si>
  <si>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</si>
  <si>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</si>
  <si>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</si>
  <si>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</si>
  <si>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</si>
  <si>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</si>
  <si>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</si>
  <si>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</si>
  <si>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</si>
  <si>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</si>
  <si>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</si>
  <si>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</si>
  <si>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</si>
  <si>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</si>
  <si>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</si>
  <si>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</si>
  <si>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</si>
  <si>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</si>
  <si>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</si>
  <si>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</si>
  <si>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</si>
  <si>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</si>
  <si>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</si>
  <si>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</si>
  <si>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</si>
  <si>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</si>
  <si>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</si>
  <si>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</si>
  <si>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</si>
  <si>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</si>
  <si>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</si>
  <si>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</si>
  <si>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</si>
  <si>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</si>
  <si>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</si>
  <si>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</si>
  <si>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</si>
  <si>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</si>
  <si>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</si>
  <si>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</si>
  <si>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</si>
  <si>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</si>
  <si>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</si>
  <si>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</si>
  <si>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</si>
  <si>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</si>
  <si>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</si>
  <si>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</si>
  <si>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</si>
  <si>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</si>
  <si>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</si>
  <si>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</si>
  <si>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</si>
  <si>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</si>
  <si>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</si>
  <si>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</si>
  <si>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</si>
  <si>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</si>
  <si>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</si>
  <si>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</si>
  <si>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</si>
  <si>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</si>
  <si>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</si>
  <si>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</si>
  <si>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2021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</si>
</sst>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0E+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6" fontId="0" fillId="0" borderId="0" xfId="0" applyNumberFormat="1" applyFill="1" applyBorder="1" applyProtection="1"/>
    <xf numFmtId="43" fontId="0" fillId="0" borderId="0" xfId="0" applyNumberFormat="1" applyProtection="1"/>
    <xf numFmtId="44" fontId="0" fillId="0" borderId="0" xfId="0" applyNumberFormat="1" applyProtection="1"/>
    <xf numFmtId="9" fontId="0" fillId="0" borderId="0" xfId="4" applyNumberFormat="1" applyFont="1" applyProtection="1"/>
    <xf numFmtId="169" fontId="0" fillId="0" borderId="0" xfId="0" applyNumberFormat="1" applyProtection="1"/>
    <xf numFmtId="167" fontId="7" fillId="6" borderId="0" xfId="0" applyNumberFormat="1" applyFont="1" applyFill="1" applyBorder="1" applyAlignment="1" applyProtection="1">
      <alignment horizontal="right"/>
    </xf>
    <xf numFmtId="164" fontId="7" fillId="6" borderId="0" xfId="0" applyNumberFormat="1" applyFont="1" applyFill="1" applyBorder="1" applyAlignment="1" applyProtection="1">
      <alignment horizontal="right"/>
    </xf>
    <xf numFmtId="167" fontId="7" fillId="6" borderId="26" xfId="0" applyNumberFormat="1" applyFont="1" applyFill="1" applyBorder="1" applyAlignment="1" applyProtection="1">
      <alignment horizontal="center"/>
    </xf>
    <xf numFmtId="14" fontId="7" fillId="6" borderId="0" xfId="3" applyNumberFormat="1" applyFont="1" applyFill="1"/>
    <xf numFmtId="14" fontId="7" fillId="2" borderId="8" xfId="3" applyNumberFormat="1" applyFont="1" applyFill="1" applyBorder="1"/>
    <xf numFmtId="14" fontId="7" fillId="6" borderId="8" xfId="3" applyNumberFormat="1" applyFont="1" applyFill="1" applyBorder="1"/>
    <xf numFmtId="10" fontId="24" fillId="0" borderId="0" xfId="4" quotePrefix="1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4" xfId="0" quotePrefix="1" applyNumberFormat="1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4" xfId="0" quotePrefix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349016" refreshedDate="45069.396922916669" createdVersion="6" refreshedVersion="7" recordCount="192" xr:uid="{00000000-000A-0000-FFFF-FFFFAE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2-12-02T00:00:00" count="156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21-05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21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21-06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21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21-01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21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21-02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21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21-03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21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21-04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21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2-02-03T00:00:00" maxDate="2023-01-05T00:00:00"/>
    </cacheField>
    <cacheField name="Payment Received*" numFmtId="14">
      <sharedItems containsSemiMixedTypes="0" containsNonDate="0" containsDate="1" containsString="0" minDate="2022-02-23T00:00:00" maxDate="2023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230"/>
    </cacheField>
    <cacheField name="Projected Rate (as Invoiced)" numFmtId="164">
      <sharedItems containsSemiMixedTypes="0" containsString="0" containsNumber="1" minValue="1393.5515841383033" maxValue="1393.5515841383033"/>
    </cacheField>
    <cacheField name="Actual True-Up Rate" numFmtId="164">
      <sharedItems containsSemiMixedTypes="0" containsString="0" containsNumber="1" minValue="1266.7977110484107" maxValue="1266.7977110484107"/>
    </cacheField>
    <cacheField name="True-Up Charge" numFmtId="164">
      <sharedItems containsSemiMixedTypes="0" containsString="0" containsNumber="1" minValue="1266.7977110484107" maxValue="5358554.317734777"/>
    </cacheField>
    <cacheField name="Invoiced*** Charge (proj.)" numFmtId="164">
      <sharedItems containsSemiMixedTypes="0" containsString="0" containsNumber="1" minValue="1393.5515841383033" maxValue="5894723.2009050231"/>
    </cacheField>
    <cacheField name="True-Up w/o Interest" numFmtId="164">
      <sharedItems containsSemiMixedTypes="0" containsString="0" containsNumber="1" minValue="-536168.88317024615" maxValue="-126.75387308989252"/>
    </cacheField>
    <cacheField name="Interest" numFmtId="164">
      <sharedItems containsSemiMixedTypes="0" containsString="0" containsNumber="1" minValue="-29278.626712659992" maxValue="-6.9216611613853409"/>
    </cacheField>
    <cacheField name="2021 True Up Including Interest" numFmtId="164">
      <sharedItems containsSemiMixedTypes="0" containsString="0" containsNumber="1" minValue="-565447.5098829061" maxValue="-133.6755342512778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565447.5098829061" maxValue="-133.675534251277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2-02-03T00:00:00"/>
    <d v="2022-02-23T00:00:00"/>
    <x v="0"/>
    <n v="9"/>
    <n v="2899"/>
    <n v="1393.5515841383033"/>
    <n v="1266.7977110484107"/>
    <n v="3672446.5643293429"/>
    <n v="4039906.0424169414"/>
    <n v="-367459.47808759846"/>
    <n v="-20065.895706856103"/>
    <n v="-387525.37379445456"/>
    <n v="0"/>
    <n v="0"/>
    <n v="0"/>
    <n v="-387525.37379445456"/>
  </r>
  <r>
    <x v="1"/>
    <d v="2022-03-03T00:00:00"/>
    <d v="2022-03-22T00:00:00"/>
    <x v="0"/>
    <n v="9"/>
    <n v="2759"/>
    <n v="1393.5515841383033"/>
    <n v="1266.7977110484107"/>
    <n v="3495094.8847825653"/>
    <n v="3844808.8206375786"/>
    <n v="-349713.93585501332"/>
    <n v="-19096.863144262155"/>
    <n v="-368810.79899927549"/>
    <n v="0"/>
    <n v="0"/>
    <n v="0"/>
    <n v="-368810.79899927549"/>
  </r>
  <r>
    <x v="2"/>
    <d v="2022-04-05T00:00:00"/>
    <d v="2022-04-25T00:00:00"/>
    <x v="0"/>
    <n v="9"/>
    <n v="2450"/>
    <n v="1393.5515841383033"/>
    <n v="1266.7977110484107"/>
    <n v="3103654.3920686063"/>
    <n v="3414201.381138843"/>
    <n v="-310546.98907023668"/>
    <n v="-16958.069845394086"/>
    <n v="-327505.0589156308"/>
    <n v="0"/>
    <n v="0"/>
    <n v="0"/>
    <n v="-327505.0589156308"/>
  </r>
  <r>
    <x v="3"/>
    <d v="2022-05-04T00:00:00"/>
    <d v="2022-05-24T00:00:00"/>
    <x v="0"/>
    <n v="9"/>
    <n v="2395"/>
    <n v="1393.5515841383033"/>
    <n v="1266.7977110484107"/>
    <n v="3033980.5179609437"/>
    <n v="3337556.0440112362"/>
    <n v="-303575.52605029242"/>
    <n v="-16577.378481517891"/>
    <n v="-320152.90453181032"/>
    <n v="0"/>
    <n v="0"/>
    <n v="0"/>
    <n v="-320152.90453181032"/>
  </r>
  <r>
    <x v="4"/>
    <d v="2022-06-03T00:00:00"/>
    <d v="2022-06-23T00:00:00"/>
    <x v="0"/>
    <n v="9"/>
    <n v="3482"/>
    <n v="1393.5515841383033"/>
    <n v="1266.7977110484107"/>
    <n v="4410989.6298705665"/>
    <n v="4852346.6159695722"/>
    <n v="-441356.98609900568"/>
    <n v="-24101.22416394376"/>
    <n v="-465458.21026294946"/>
    <n v="0"/>
    <n v="0"/>
    <n v="0"/>
    <n v="-465458.21026294946"/>
  </r>
  <r>
    <x v="5"/>
    <d v="2022-07-05T00:00:00"/>
    <d v="2022-07-25T00:00:00"/>
    <x v="0"/>
    <n v="9"/>
    <n v="4006"/>
    <n v="1393.5515841383033"/>
    <n v="1266.7977110484107"/>
    <n v="5074791.6304599335"/>
    <n v="5582567.6460580425"/>
    <n v="-507776.01559810899"/>
    <n v="-27728.174612509676"/>
    <n v="-535504.19021061866"/>
    <n v="0"/>
    <n v="0"/>
    <n v="0"/>
    <n v="-535504.19021061866"/>
  </r>
  <r>
    <x v="6"/>
    <d v="2022-08-03T00:00:00"/>
    <d v="2022-08-23T00:00:00"/>
    <x v="0"/>
    <n v="9"/>
    <n v="4230"/>
    <n v="1393.5515841383033"/>
    <n v="1266.7977110484107"/>
    <n v="5358554.317734777"/>
    <n v="5894723.2009050231"/>
    <n v="-536168.88317024615"/>
    <n v="-29278.626712659992"/>
    <n v="-565447.5098829061"/>
    <n v="0"/>
    <n v="0"/>
    <n v="0"/>
    <n v="-565447.5098829061"/>
  </r>
  <r>
    <x v="7"/>
    <d v="2022-09-05T00:00:00"/>
    <d v="2022-09-23T00:00:00"/>
    <x v="0"/>
    <n v="9"/>
    <n v="4151"/>
    <n v="1393.5515841383033"/>
    <n v="1266.7977110484107"/>
    <n v="5258477.298561953"/>
    <n v="5784632.6257580966"/>
    <n v="-526155.32719614357"/>
    <n v="-28731.815480910547"/>
    <n v="-554887.14267705416"/>
    <n v="0"/>
    <n v="0"/>
    <n v="0"/>
    <n v="-554887.14267705416"/>
  </r>
  <r>
    <x v="8"/>
    <d v="2022-10-05T00:00:00"/>
    <d v="2022-10-25T00:00:00"/>
    <x v="0"/>
    <n v="9"/>
    <n v="3898"/>
    <n v="1393.5515841383033"/>
    <n v="1266.7977110484107"/>
    <n v="4937977.4776667049"/>
    <n v="5432064.0749711059"/>
    <n v="-494086.59730440099"/>
    <n v="-26980.63520708006"/>
    <n v="-521067.23251148104"/>
    <n v="0"/>
    <n v="0"/>
    <n v="0"/>
    <n v="-521067.23251148104"/>
  </r>
  <r>
    <x v="9"/>
    <d v="2022-11-03T00:00:00"/>
    <d v="2022-11-23T00:00:00"/>
    <x v="0"/>
    <n v="9"/>
    <n v="2760"/>
    <n v="1393.5515841383033"/>
    <n v="1266.7977110484107"/>
    <n v="3496361.6824936136"/>
    <n v="3846202.3722217171"/>
    <n v="-349840.68972810358"/>
    <n v="-19103.78480542354"/>
    <n v="-368944.4745335271"/>
    <n v="0"/>
    <n v="0"/>
    <n v="0"/>
    <n v="-368944.4745335271"/>
  </r>
  <r>
    <x v="10"/>
    <d v="2022-12-05T00:00:00"/>
    <d v="2022-12-23T00:00:00"/>
    <x v="0"/>
    <n v="9"/>
    <n v="2561"/>
    <n v="1393.5515841383033"/>
    <n v="1266.7977110484107"/>
    <n v="3244268.9379949798"/>
    <n v="3568885.6069781948"/>
    <n v="-324616.668983215"/>
    <n v="-17726.374234307856"/>
    <n v="-342343.04321752285"/>
    <n v="0"/>
    <n v="0"/>
    <n v="0"/>
    <n v="-342343.04321752285"/>
  </r>
  <r>
    <x v="11"/>
    <d v="2023-01-04T00:00:00"/>
    <d v="2023-01-24T00:00:00"/>
    <x v="0"/>
    <n v="9"/>
    <n v="3150"/>
    <n v="1393.5515841383033"/>
    <n v="1266.7977110484107"/>
    <n v="3990412.789802494"/>
    <n v="4389687.490035655"/>
    <n v="-399274.70023316098"/>
    <n v="-21803.232658363824"/>
    <n v="-421077.9328915248"/>
    <n v="0"/>
    <n v="0"/>
    <n v="0"/>
    <n v="-421077.9328915248"/>
  </r>
  <r>
    <x v="0"/>
    <d v="2022-02-03T00:00:00"/>
    <d v="2022-02-23T00:00:00"/>
    <x v="1"/>
    <n v="9"/>
    <n v="2921"/>
    <n v="1393.5515841383033"/>
    <n v="1266.7977110484107"/>
    <n v="3700316.1139724078"/>
    <n v="4070564.177267984"/>
    <n v="-370248.06329557626"/>
    <n v="-20218.172252406581"/>
    <n v="-390466.23554798285"/>
    <n v="0"/>
    <n v="0"/>
    <n v="0"/>
    <n v="-390466.23554798285"/>
  </r>
  <r>
    <x v="1"/>
    <d v="2022-03-03T00:00:00"/>
    <d v="2022-03-22T00:00:00"/>
    <x v="1"/>
    <n v="9"/>
    <n v="2853"/>
    <n v="1393.5515841383033"/>
    <n v="1266.7977110484107"/>
    <n v="3614173.8696211157"/>
    <n v="3975802.669546579"/>
    <n v="-361628.79992546327"/>
    <n v="-19747.499293432378"/>
    <n v="-381376.29921889567"/>
    <n v="0"/>
    <n v="0"/>
    <n v="0"/>
    <n v="-381376.29921889567"/>
  </r>
  <r>
    <x v="2"/>
    <d v="2022-04-05T00:00:00"/>
    <d v="2022-04-25T00:00:00"/>
    <x v="1"/>
    <n v="9"/>
    <n v="2560"/>
    <n v="1393.5515841383033"/>
    <n v="1266.7977110484107"/>
    <n v="3243002.1402839315"/>
    <n v="3567492.0553940563"/>
    <n v="-324489.91511012474"/>
    <n v="-17719.452573146471"/>
    <n v="-342209.36768327124"/>
    <n v="0"/>
    <n v="0"/>
    <n v="0"/>
    <n v="-342209.36768327124"/>
  </r>
  <r>
    <x v="3"/>
    <d v="2022-05-04T00:00:00"/>
    <d v="2022-05-24T00:00:00"/>
    <x v="1"/>
    <n v="9"/>
    <n v="2434"/>
    <n v="1393.5515841383033"/>
    <n v="1266.7977110484107"/>
    <n v="3083385.6286918316"/>
    <n v="3391904.5557926302"/>
    <n v="-308518.92710079858"/>
    <n v="-16847.32326681192"/>
    <n v="-325366.25036761048"/>
    <n v="0"/>
    <n v="0"/>
    <n v="0"/>
    <n v="-325366.25036761048"/>
  </r>
  <r>
    <x v="4"/>
    <d v="2022-06-03T00:00:00"/>
    <d v="2022-06-23T00:00:00"/>
    <x v="1"/>
    <n v="9"/>
    <n v="3117"/>
    <n v="1393.5515841383033"/>
    <n v="1266.7977110484107"/>
    <n v="3948608.4653378963"/>
    <n v="4343700.2877590917"/>
    <n v="-395091.82242119545"/>
    <n v="-21574.817840038108"/>
    <n v="-416666.64026123355"/>
    <n v="0"/>
    <n v="0"/>
    <n v="0"/>
    <n v="-416666.64026123355"/>
  </r>
  <r>
    <x v="5"/>
    <d v="2022-07-05T00:00:00"/>
    <d v="2022-07-25T00:00:00"/>
    <x v="1"/>
    <n v="9"/>
    <n v="3536"/>
    <n v="1393.5515841383033"/>
    <n v="1266.7977110484107"/>
    <n v="4479396.7062671809"/>
    <n v="4927598.4015130401"/>
    <n v="-448201.69524585921"/>
    <n v="-24474.993866658566"/>
    <n v="-472676.68911251775"/>
    <n v="0"/>
    <n v="0"/>
    <n v="0"/>
    <n v="-472676.68911251775"/>
  </r>
  <r>
    <x v="6"/>
    <d v="2022-08-03T00:00:00"/>
    <d v="2022-08-23T00:00:00"/>
    <x v="1"/>
    <n v="9"/>
    <n v="3696"/>
    <n v="1393.5515841383033"/>
    <n v="1266.7977110484107"/>
    <n v="4682084.3400349263"/>
    <n v="5150566.6549751693"/>
    <n v="-468482.31494024303"/>
    <n v="-25582.459652480222"/>
    <n v="-494064.77459272323"/>
    <n v="0"/>
    <n v="0"/>
    <n v="0"/>
    <n v="-494064.77459272323"/>
  </r>
  <r>
    <x v="7"/>
    <d v="2022-09-05T00:00:00"/>
    <d v="2022-09-23T00:00:00"/>
    <x v="1"/>
    <n v="9"/>
    <n v="3632"/>
    <n v="1393.5515841383033"/>
    <n v="1266.7977110484107"/>
    <n v="4601009.2865278274"/>
    <n v="5061379.3535903171"/>
    <n v="-460370.06706248969"/>
    <n v="-25139.473338151558"/>
    <n v="-485509.54040064127"/>
    <n v="0"/>
    <n v="0"/>
    <n v="0"/>
    <n v="-485509.54040064127"/>
  </r>
  <r>
    <x v="8"/>
    <d v="2022-10-05T00:00:00"/>
    <d v="2022-10-25T00:00:00"/>
    <x v="1"/>
    <n v="9"/>
    <n v="3337"/>
    <n v="1393.5515841383033"/>
    <n v="1266.7977110484107"/>
    <n v="4227303.9617685471"/>
    <n v="4650281.6362695182"/>
    <n v="-422977.6745009711"/>
    <n v="-23097.583295542881"/>
    <n v="-446075.25779651396"/>
    <n v="0"/>
    <n v="0"/>
    <n v="0"/>
    <n v="-446075.25779651396"/>
  </r>
  <r>
    <x v="9"/>
    <d v="2022-11-03T00:00:00"/>
    <d v="2022-11-23T00:00:00"/>
    <x v="1"/>
    <n v="9"/>
    <n v="2496"/>
    <n v="1393.5515841383033"/>
    <n v="1266.7977110484107"/>
    <n v="3161927.086776833"/>
    <n v="3478304.7540092049"/>
    <n v="-316377.66723237187"/>
    <n v="-17276.466258817811"/>
    <n v="-333654.13349118968"/>
    <n v="0"/>
    <n v="0"/>
    <n v="0"/>
    <n v="-333654.13349118968"/>
  </r>
  <r>
    <x v="10"/>
    <d v="2022-12-05T00:00:00"/>
    <d v="2022-12-23T00:00:00"/>
    <x v="1"/>
    <n v="9"/>
    <n v="2518"/>
    <n v="1393.5515841383033"/>
    <n v="1266.7977110484107"/>
    <n v="3189796.6364198984"/>
    <n v="3508962.8888602476"/>
    <n v="-319166.2524403492"/>
    <n v="-17428.742804368288"/>
    <n v="-336594.99524471746"/>
    <n v="0"/>
    <n v="0"/>
    <n v="0"/>
    <n v="-336594.99524471746"/>
  </r>
  <r>
    <x v="11"/>
    <d v="2023-01-04T00:00:00"/>
    <d v="2023-01-24T00:00:00"/>
    <x v="1"/>
    <n v="9"/>
    <n v="3399"/>
    <n v="1393.5515841383033"/>
    <n v="1266.7977110484107"/>
    <n v="4305845.4198535485"/>
    <n v="4736681.8344860924"/>
    <n v="-430836.41463254392"/>
    <n v="-23526.726287548772"/>
    <n v="-454363.1409200927"/>
    <n v="0"/>
    <n v="0"/>
    <n v="0"/>
    <n v="-454363.1409200927"/>
  </r>
  <r>
    <x v="0"/>
    <d v="2022-02-03T00:00:00"/>
    <d v="2022-02-23T00:00:00"/>
    <x v="2"/>
    <n v="9"/>
    <n v="163"/>
    <n v="1393.5515841383033"/>
    <n v="1266.7977110484107"/>
    <n v="206488.02690089095"/>
    <n v="227148.90821454342"/>
    <n v="-20660.88131365247"/>
    <n v="-1128.2307693058106"/>
    <n v="-21789.11208295828"/>
    <n v="0"/>
    <n v="0"/>
    <n v="0"/>
    <n v="-21789.11208295828"/>
  </r>
  <r>
    <x v="1"/>
    <d v="2022-03-03T00:00:00"/>
    <d v="2022-03-22T00:00:00"/>
    <x v="2"/>
    <n v="9"/>
    <n v="155"/>
    <n v="1393.5515841383033"/>
    <n v="1266.7977110484107"/>
    <n v="196353.64521250367"/>
    <n v="216000.49554143701"/>
    <n v="-19646.850328933331"/>
    <n v="-1072.8574800147278"/>
    <n v="-20719.70780894806"/>
    <n v="0"/>
    <n v="0"/>
    <n v="0"/>
    <n v="-20719.70780894806"/>
  </r>
  <r>
    <x v="2"/>
    <d v="2022-04-05T00:00:00"/>
    <d v="2022-04-25T00:00:00"/>
    <x v="2"/>
    <n v="9"/>
    <n v="141"/>
    <n v="1393.5515841383033"/>
    <n v="1266.7977110484107"/>
    <n v="178618.47725782593"/>
    <n v="196490.77336350078"/>
    <n v="-17872.296105674846"/>
    <n v="-975.95422375533315"/>
    <n v="-18848.250329430179"/>
    <n v="0"/>
    <n v="0"/>
    <n v="0"/>
    <n v="-18848.250329430179"/>
  </r>
  <r>
    <x v="3"/>
    <d v="2022-05-04T00:00:00"/>
    <d v="2022-05-24T00:00:00"/>
    <x v="2"/>
    <n v="9"/>
    <n v="92"/>
    <n v="1393.5515841383033"/>
    <n v="1266.7977110484107"/>
    <n v="116545.38941645379"/>
    <n v="128206.7457407239"/>
    <n v="-11661.356324270106"/>
    <n v="-636.79282684745135"/>
    <n v="-12298.149151117557"/>
    <n v="0"/>
    <n v="0"/>
    <n v="0"/>
    <n v="-12298.149151117557"/>
  </r>
  <r>
    <x v="4"/>
    <d v="2022-06-03T00:00:00"/>
    <d v="2022-06-23T00:00:00"/>
    <x v="2"/>
    <n v="9"/>
    <n v="131"/>
    <n v="1393.5515841383033"/>
    <n v="1266.7977110484107"/>
    <n v="165950.50014734181"/>
    <n v="182555.25752211772"/>
    <n v="-16604.757374775916"/>
    <n v="-906.73761214147964"/>
    <n v="-17511.494986917394"/>
    <n v="0"/>
    <n v="0"/>
    <n v="0"/>
    <n v="-17511.494986917394"/>
  </r>
  <r>
    <x v="5"/>
    <d v="2022-07-05T00:00:00"/>
    <d v="2022-07-25T00:00:00"/>
    <x v="2"/>
    <n v="9"/>
    <n v="152"/>
    <n v="1393.5515841383033"/>
    <n v="1266.7977110484107"/>
    <n v="192553.25207935844"/>
    <n v="211819.8407890221"/>
    <n v="-19266.588709663658"/>
    <n v="-1052.0924965305719"/>
    <n v="-20318.681206194229"/>
    <n v="0"/>
    <n v="0"/>
    <n v="0"/>
    <n v="-20318.681206194229"/>
  </r>
  <r>
    <x v="6"/>
    <d v="2022-08-03T00:00:00"/>
    <d v="2022-08-23T00:00:00"/>
    <x v="2"/>
    <n v="9"/>
    <n v="149"/>
    <n v="1393.5515841383033"/>
    <n v="1266.7977110484107"/>
    <n v="188752.85894621321"/>
    <n v="207639.18603660719"/>
    <n v="-18886.327090393985"/>
    <n v="-1031.3275130464158"/>
    <n v="-19917.654603440402"/>
    <n v="0"/>
    <n v="0"/>
    <n v="0"/>
    <n v="-19917.654603440402"/>
  </r>
  <r>
    <x v="7"/>
    <d v="2022-09-05T00:00:00"/>
    <d v="2022-09-23T00:00:00"/>
    <x v="2"/>
    <n v="9"/>
    <n v="137"/>
    <n v="1393.5515841383033"/>
    <n v="1266.7977110484107"/>
    <n v="173551.28641363228"/>
    <n v="190916.56702694754"/>
    <n v="-17365.280613315263"/>
    <n v="-948.26757910979165"/>
    <n v="-18313.548192425053"/>
    <n v="0"/>
    <n v="0"/>
    <n v="0"/>
    <n v="-18313.548192425053"/>
  </r>
  <r>
    <x v="8"/>
    <d v="2022-10-05T00:00:00"/>
    <d v="2022-10-25T00:00:00"/>
    <x v="2"/>
    <n v="9"/>
    <n v="136"/>
    <n v="1393.5515841383033"/>
    <n v="1266.7977110484107"/>
    <n v="172284.48870258385"/>
    <n v="189523.01544280924"/>
    <n v="-17238.526740225381"/>
    <n v="-941.3459179484064"/>
    <n v="-18179.872658173786"/>
    <n v="0"/>
    <n v="0"/>
    <n v="0"/>
    <n v="-18179.872658173786"/>
  </r>
  <r>
    <x v="9"/>
    <d v="2022-11-03T00:00:00"/>
    <d v="2022-11-23T00:00:00"/>
    <x v="2"/>
    <n v="9"/>
    <n v="91"/>
    <n v="1393.5515841383033"/>
    <n v="1266.7977110484107"/>
    <n v="115278.59170540537"/>
    <n v="126813.1941565856"/>
    <n v="-11534.602451180224"/>
    <n v="-629.87116568606598"/>
    <n v="-12164.473616866289"/>
    <n v="0"/>
    <n v="0"/>
    <n v="0"/>
    <n v="-12164.473616866289"/>
  </r>
  <r>
    <x v="10"/>
    <d v="2022-12-05T00:00:00"/>
    <d v="2022-12-23T00:00:00"/>
    <x v="2"/>
    <n v="9"/>
    <n v="113"/>
    <n v="1393.5515841383033"/>
    <n v="1266.7977110484107"/>
    <n v="143148.14134847041"/>
    <n v="157471.32900762826"/>
    <n v="-14323.187659157848"/>
    <n v="-782.1477112365435"/>
    <n v="-15105.33537039439"/>
    <n v="0"/>
    <n v="0"/>
    <n v="0"/>
    <n v="-15105.33537039439"/>
  </r>
  <r>
    <x v="11"/>
    <d v="2023-01-04T00:00:00"/>
    <d v="2023-01-24T00:00:00"/>
    <x v="2"/>
    <n v="9"/>
    <n v="210"/>
    <n v="1393.5515841383033"/>
    <n v="1266.7977110484107"/>
    <n v="266027.51932016626"/>
    <n v="292645.83266904368"/>
    <n v="-26618.313348877418"/>
    <n v="-1453.5488438909217"/>
    <n v="-28071.862192768342"/>
    <n v="0"/>
    <n v="0"/>
    <n v="0"/>
    <n v="-28071.862192768342"/>
  </r>
  <r>
    <x v="0"/>
    <d v="2022-02-03T00:00:00"/>
    <d v="2022-02-23T00:00:00"/>
    <x v="3"/>
    <n v="9"/>
    <n v="893"/>
    <n v="1393.5515841383033"/>
    <n v="1266.7977110484107"/>
    <n v="1131250.3559662309"/>
    <n v="1244441.5646355047"/>
    <n v="-113191.20866927388"/>
    <n v="-6181.0434171171091"/>
    <n v="-119372.25208639099"/>
    <n v="0"/>
    <n v="0"/>
    <n v="0"/>
    <n v="-119372.25208639099"/>
  </r>
  <r>
    <x v="1"/>
    <d v="2022-03-03T00:00:00"/>
    <d v="2022-03-22T00:00:00"/>
    <x v="3"/>
    <n v="9"/>
    <n v="796"/>
    <n v="1393.5515841383033"/>
    <n v="1266.7977110484107"/>
    <n v="1008370.977994535"/>
    <n v="1109267.0609740894"/>
    <n v="-100896.08297955443"/>
    <n v="-5509.6422844627314"/>
    <n v="-106405.72526401716"/>
    <n v="0"/>
    <n v="0"/>
    <n v="0"/>
    <n v="-106405.72526401716"/>
  </r>
  <r>
    <x v="2"/>
    <d v="2022-04-05T00:00:00"/>
    <d v="2022-04-25T00:00:00"/>
    <x v="3"/>
    <n v="9"/>
    <n v="700"/>
    <n v="1393.5515841383033"/>
    <n v="1266.7977110484107"/>
    <n v="886758.39773388754"/>
    <n v="975486.10889681231"/>
    <n v="-88727.711162924767"/>
    <n v="-4845.1628129697383"/>
    <n v="-93572.873975894501"/>
    <n v="0"/>
    <n v="0"/>
    <n v="0"/>
    <n v="-93572.873975894501"/>
  </r>
  <r>
    <x v="3"/>
    <d v="2022-05-04T00:00:00"/>
    <d v="2022-05-24T00:00:00"/>
    <x v="3"/>
    <n v="9"/>
    <n v="549"/>
    <n v="1393.5515841383033"/>
    <n v="1266.7977110484107"/>
    <n v="695471.94336557749"/>
    <n v="765059.81969192845"/>
    <n v="-69587.876326350961"/>
    <n v="-3799.9919776005522"/>
    <n v="-73387.868303951516"/>
    <n v="0"/>
    <n v="0"/>
    <n v="0"/>
    <n v="-73387.868303951516"/>
  </r>
  <r>
    <x v="4"/>
    <d v="2022-06-03T00:00:00"/>
    <d v="2022-06-23T00:00:00"/>
    <x v="3"/>
    <n v="9"/>
    <n v="753"/>
    <n v="1393.5515841383033"/>
    <n v="1266.7977110484107"/>
    <n v="953898.67641945335"/>
    <n v="1049344.3428561424"/>
    <n v="-95445.666436689091"/>
    <n v="-5212.0108545231615"/>
    <n v="-100657.67729121225"/>
    <n v="0"/>
    <n v="0"/>
    <n v="0"/>
    <n v="-100657.67729121225"/>
  </r>
  <r>
    <x v="5"/>
    <d v="2022-07-05T00:00:00"/>
    <d v="2022-07-25T00:00:00"/>
    <x v="3"/>
    <n v="9"/>
    <n v="942"/>
    <n v="1393.5515841383033"/>
    <n v="1266.7977110484107"/>
    <n v="1193323.4438076029"/>
    <n v="1312725.5922582818"/>
    <n v="-119402.14845067891"/>
    <n v="-6520.2048140249917"/>
    <n v="-125922.35326470391"/>
    <n v="0"/>
    <n v="0"/>
    <n v="0"/>
    <n v="-125922.35326470391"/>
  </r>
  <r>
    <x v="6"/>
    <d v="2022-08-03T00:00:00"/>
    <d v="2022-08-23T00:00:00"/>
    <x v="3"/>
    <n v="9"/>
    <n v="1036"/>
    <n v="1393.5515841383033"/>
    <n v="1266.7977110484107"/>
    <n v="1312402.4286461535"/>
    <n v="1443719.4411672822"/>
    <n v="-131317.01252112864"/>
    <n v="-7170.8409631952127"/>
    <n v="-138487.85348432386"/>
    <n v="0"/>
    <n v="0"/>
    <n v="0"/>
    <n v="-138487.85348432386"/>
  </r>
  <r>
    <x v="7"/>
    <d v="2022-09-05T00:00:00"/>
    <d v="2022-09-23T00:00:00"/>
    <x v="3"/>
    <n v="9"/>
    <n v="954"/>
    <n v="1393.5515841383033"/>
    <n v="1266.7977110484107"/>
    <n v="1208525.0163401838"/>
    <n v="1329448.2112679414"/>
    <n v="-120923.19492775761"/>
    <n v="-6603.2647479616153"/>
    <n v="-127526.45967571922"/>
    <n v="0"/>
    <n v="0"/>
    <n v="0"/>
    <n v="-127526.45967571922"/>
  </r>
  <r>
    <x v="8"/>
    <d v="2022-10-05T00:00:00"/>
    <d v="2022-10-25T00:00:00"/>
    <x v="3"/>
    <n v="9"/>
    <n v="860"/>
    <n v="1393.5515841383033"/>
    <n v="1266.7977110484107"/>
    <n v="1089446.0315016333"/>
    <n v="1198454.3623589408"/>
    <n v="-109008.33085730742"/>
    <n v="-5952.6285987913934"/>
    <n v="-114960.9594560988"/>
    <n v="0"/>
    <n v="0"/>
    <n v="0"/>
    <n v="-114960.9594560988"/>
  </r>
  <r>
    <x v="9"/>
    <d v="2022-11-03T00:00:00"/>
    <d v="2022-11-23T00:00:00"/>
    <x v="3"/>
    <n v="9"/>
    <n v="589"/>
    <n v="1393.5515841383033"/>
    <n v="1266.7977110484107"/>
    <n v="746143.85180751397"/>
    <n v="820801.88305746065"/>
    <n v="-74658.031249946682"/>
    <n v="-4076.8584240559658"/>
    <n v="-78734.889674002654"/>
    <n v="0"/>
    <n v="0"/>
    <n v="0"/>
    <n v="-78734.889674002654"/>
  </r>
  <r>
    <x v="10"/>
    <d v="2022-12-05T00:00:00"/>
    <d v="2022-12-23T00:00:00"/>
    <x v="3"/>
    <n v="9"/>
    <n v="730"/>
    <n v="1393.5515841383033"/>
    <n v="1266.7977110484107"/>
    <n v="924762.32906533987"/>
    <n v="1017292.6564209614"/>
    <n v="-92530.327355621499"/>
    <n v="-5052.812647811299"/>
    <n v="-97583.140003432796"/>
    <n v="0"/>
    <n v="0"/>
    <n v="0"/>
    <n v="-97583.140003432796"/>
  </r>
  <r>
    <x v="11"/>
    <d v="2023-01-04T00:00:00"/>
    <d v="2023-01-24T00:00:00"/>
    <x v="3"/>
    <n v="9"/>
    <n v="1123"/>
    <n v="1393.5515841383033"/>
    <n v="1266.7977110484107"/>
    <n v="1422613.8295073654"/>
    <n v="1564958.4289873145"/>
    <n v="-142344.5994799491"/>
    <n v="-7773.0254842357372"/>
    <n v="-150117.62496418483"/>
    <n v="0"/>
    <n v="0"/>
    <n v="0"/>
    <n v="-150117.62496418483"/>
  </r>
  <r>
    <x v="0"/>
    <d v="2022-02-03T00:00:00"/>
    <d v="2022-02-23T00:00:00"/>
    <x v="4"/>
    <n v="9"/>
    <n v="48"/>
    <n v="1393.5515841383033"/>
    <n v="1266.7977110484107"/>
    <n v="60806.290130323716"/>
    <n v="66890.476038638561"/>
    <n v="-6084.1859083148447"/>
    <n v="-332.23973574649636"/>
    <n v="-6416.4256440613408"/>
    <n v="0"/>
    <n v="0"/>
    <n v="0"/>
    <n v="-6416.4256440613408"/>
  </r>
  <r>
    <x v="1"/>
    <d v="2022-03-03T00:00:00"/>
    <d v="2022-03-22T00:00:00"/>
    <x v="4"/>
    <n v="9"/>
    <n v="45"/>
    <n v="1393.5515841383033"/>
    <n v="1266.7977110484107"/>
    <n v="57005.896997178483"/>
    <n v="62709.821286223647"/>
    <n v="-5703.9242890451642"/>
    <n v="-311.47475226234036"/>
    <n v="-6015.3990413075044"/>
    <n v="0"/>
    <n v="0"/>
    <n v="0"/>
    <n v="-6015.3990413075044"/>
  </r>
  <r>
    <x v="2"/>
    <d v="2022-04-05T00:00:00"/>
    <d v="2022-04-25T00:00:00"/>
    <x v="4"/>
    <n v="9"/>
    <n v="38"/>
    <n v="1393.5515841383033"/>
    <n v="1266.7977110484107"/>
    <n v="48138.31301983961"/>
    <n v="52954.960197255525"/>
    <n v="-4816.6471774159145"/>
    <n v="-263.02312413264298"/>
    <n v="-5079.6703015485573"/>
    <n v="0"/>
    <n v="0"/>
    <n v="0"/>
    <n v="-5079.6703015485573"/>
  </r>
  <r>
    <x v="3"/>
    <d v="2022-05-04T00:00:00"/>
    <d v="2022-05-24T00:00:00"/>
    <x v="4"/>
    <n v="9"/>
    <n v="26"/>
    <n v="1393.5515841383033"/>
    <n v="1266.7977110484107"/>
    <n v="32936.740487258678"/>
    <n v="36232.341187595885"/>
    <n v="-3295.6007003372069"/>
    <n v="-179.96319019601884"/>
    <n v="-3475.5638905332257"/>
    <n v="0"/>
    <n v="0"/>
    <n v="0"/>
    <n v="-3475.5638905332257"/>
  </r>
  <r>
    <x v="4"/>
    <d v="2022-06-03T00:00:00"/>
    <d v="2022-06-23T00:00:00"/>
    <x v="4"/>
    <n v="9"/>
    <n v="43"/>
    <n v="1393.5515841383033"/>
    <n v="1266.7977110484107"/>
    <n v="54472.301575081663"/>
    <n v="59922.718117947043"/>
    <n v="-5450.4165428653796"/>
    <n v="-297.63142993956967"/>
    <n v="-5748.0479728049495"/>
    <n v="0"/>
    <n v="0"/>
    <n v="0"/>
    <n v="-5748.0479728049495"/>
  </r>
  <r>
    <x v="5"/>
    <d v="2022-07-05T00:00:00"/>
    <d v="2022-07-25T00:00:00"/>
    <x v="4"/>
    <n v="9"/>
    <n v="54"/>
    <n v="1393.5515841383033"/>
    <n v="1266.7977110484107"/>
    <n v="68407.076396614182"/>
    <n v="75251.785543468373"/>
    <n v="-6844.7091468541912"/>
    <n v="-373.76970271480843"/>
    <n v="-7218.478849569"/>
    <n v="0"/>
    <n v="0"/>
    <n v="0"/>
    <n v="-7218.478849569"/>
  </r>
  <r>
    <x v="6"/>
    <d v="2022-08-03T00:00:00"/>
    <d v="2022-08-23T00:00:00"/>
    <x v="4"/>
    <n v="9"/>
    <n v="57"/>
    <n v="1393.5515841383033"/>
    <n v="1266.7977110484107"/>
    <n v="72207.469529759415"/>
    <n v="79432.44029588328"/>
    <n v="-7224.9707661238645"/>
    <n v="-394.53468619896444"/>
    <n v="-7619.5054523228291"/>
    <n v="0"/>
    <n v="0"/>
    <n v="0"/>
    <n v="-7619.5054523228291"/>
  </r>
  <r>
    <x v="7"/>
    <d v="2022-09-05T00:00:00"/>
    <d v="2022-09-23T00:00:00"/>
    <x v="4"/>
    <n v="9"/>
    <n v="54"/>
    <n v="1393.5515841383033"/>
    <n v="1266.7977110484107"/>
    <n v="68407.076396614182"/>
    <n v="75251.785543468373"/>
    <n v="-6844.7091468541912"/>
    <n v="-373.76970271480843"/>
    <n v="-7218.478849569"/>
    <n v="0"/>
    <n v="0"/>
    <n v="0"/>
    <n v="-7218.478849569"/>
  </r>
  <r>
    <x v="8"/>
    <d v="2022-10-05T00:00:00"/>
    <d v="2022-10-25T00:00:00"/>
    <x v="4"/>
    <n v="9"/>
    <n v="53"/>
    <n v="1393.5515841383033"/>
    <n v="1266.7977110484107"/>
    <n v="67140.278685565776"/>
    <n v="73858.233959330071"/>
    <n v="-6717.9552737642953"/>
    <n v="-366.84804155342306"/>
    <n v="-7084.8033153177184"/>
    <n v="0"/>
    <n v="0"/>
    <n v="0"/>
    <n v="-7084.8033153177184"/>
  </r>
  <r>
    <x v="9"/>
    <d v="2022-11-03T00:00:00"/>
    <d v="2022-11-23T00:00:00"/>
    <x v="4"/>
    <n v="9"/>
    <n v="31"/>
    <n v="1393.5515841383033"/>
    <n v="1266.7977110484107"/>
    <n v="39270.72904250073"/>
    <n v="43200.099108287402"/>
    <n v="-3929.3700657866721"/>
    <n v="-214.57149600294557"/>
    <n v="-4143.9415617896175"/>
    <n v="0"/>
    <n v="0"/>
    <n v="0"/>
    <n v="-4143.9415617896175"/>
  </r>
  <r>
    <x v="10"/>
    <d v="2022-12-05T00:00:00"/>
    <d v="2022-12-23T00:00:00"/>
    <x v="4"/>
    <n v="9"/>
    <n v="38"/>
    <n v="1393.5515841383033"/>
    <n v="1266.7977110484107"/>
    <n v="48138.31301983961"/>
    <n v="52954.960197255525"/>
    <n v="-4816.6471774159145"/>
    <n v="-263.02312413264298"/>
    <n v="-5079.6703015485573"/>
    <n v="0"/>
    <n v="0"/>
    <n v="0"/>
    <n v="-5079.6703015485573"/>
  </r>
  <r>
    <x v="11"/>
    <d v="2023-01-04T00:00:00"/>
    <d v="2023-01-24T00:00:00"/>
    <x v="4"/>
    <n v="9"/>
    <n v="58"/>
    <n v="1393.5515841383033"/>
    <n v="1266.7977110484107"/>
    <n v="73474.267240807822"/>
    <n v="80825.991880021596"/>
    <n v="-7351.7246392137749"/>
    <n v="-401.45634736034975"/>
    <n v="-7753.1809865741243"/>
    <n v="0"/>
    <n v="0"/>
    <n v="0"/>
    <n v="-7753.1809865741243"/>
  </r>
  <r>
    <x v="0"/>
    <d v="2022-02-03T00:00:00"/>
    <d v="2022-02-23T00:00:00"/>
    <x v="5"/>
    <n v="9"/>
    <n v="50"/>
    <n v="1393.5515841383033"/>
    <n v="1266.7977110484107"/>
    <n v="63339.885552420536"/>
    <n v="69677.579206915165"/>
    <n v="-6337.6936544946293"/>
    <n v="-346.083058069267"/>
    <n v="-6683.7767125638966"/>
    <n v="0"/>
    <n v="0"/>
    <n v="0"/>
    <n v="-6683.7767125638966"/>
  </r>
  <r>
    <x v="1"/>
    <d v="2022-03-03T00:00:00"/>
    <d v="2022-03-22T00:00:00"/>
    <x v="5"/>
    <n v="9"/>
    <n v="49"/>
    <n v="1393.5515841383033"/>
    <n v="1266.7977110484107"/>
    <n v="62073.087841372129"/>
    <n v="68284.027622776863"/>
    <n v="-6210.9397814047334"/>
    <n v="-339.16139690788168"/>
    <n v="-6550.101178312615"/>
    <n v="0"/>
    <n v="0"/>
    <n v="0"/>
    <n v="-6550.101178312615"/>
  </r>
  <r>
    <x v="2"/>
    <d v="2022-04-05T00:00:00"/>
    <d v="2022-04-25T00:00:00"/>
    <x v="5"/>
    <n v="9"/>
    <n v="45"/>
    <n v="1393.5515841383033"/>
    <n v="1266.7977110484107"/>
    <n v="57005.896997178483"/>
    <n v="62709.821286223647"/>
    <n v="-5703.9242890451642"/>
    <n v="-311.47475226234036"/>
    <n v="-6015.3990413075044"/>
    <n v="0"/>
    <n v="0"/>
    <n v="0"/>
    <n v="-6015.3990413075044"/>
  </r>
  <r>
    <x v="3"/>
    <d v="2022-05-04T00:00:00"/>
    <d v="2022-05-24T00:00:00"/>
    <x v="5"/>
    <n v="9"/>
    <n v="34"/>
    <n v="1393.5515841383033"/>
    <n v="1266.7977110484107"/>
    <n v="43071.122175645964"/>
    <n v="47380.753860702309"/>
    <n v="-4309.6316850563453"/>
    <n v="-235.3364794871016"/>
    <n v="-4544.9681645434466"/>
    <n v="0"/>
    <n v="0"/>
    <n v="0"/>
    <n v="-4544.9681645434466"/>
  </r>
  <r>
    <x v="4"/>
    <d v="2022-06-03T00:00:00"/>
    <d v="2022-06-23T00:00:00"/>
    <x v="5"/>
    <n v="9"/>
    <n v="42"/>
    <n v="1393.5515841383033"/>
    <n v="1266.7977110484107"/>
    <n v="53205.50386403325"/>
    <n v="58529.16653380874"/>
    <n v="-5323.6626697754909"/>
    <n v="-290.7097687781843"/>
    <n v="-5614.3724385536752"/>
    <n v="0"/>
    <n v="0"/>
    <n v="0"/>
    <n v="-5614.3724385536752"/>
  </r>
  <r>
    <x v="5"/>
    <d v="2022-07-05T00:00:00"/>
    <d v="2022-07-25T00:00:00"/>
    <x v="5"/>
    <n v="9"/>
    <n v="49"/>
    <n v="1393.5515841383033"/>
    <n v="1266.7977110484107"/>
    <n v="62073.087841372129"/>
    <n v="68284.027622776863"/>
    <n v="-6210.9397814047334"/>
    <n v="-339.16139690788168"/>
    <n v="-6550.101178312615"/>
    <n v="0"/>
    <n v="0"/>
    <n v="0"/>
    <n v="-6550.101178312615"/>
  </r>
  <r>
    <x v="6"/>
    <d v="2022-08-03T00:00:00"/>
    <d v="2022-08-23T00:00:00"/>
    <x v="5"/>
    <n v="9"/>
    <n v="54"/>
    <n v="1393.5515841383033"/>
    <n v="1266.7977110484107"/>
    <n v="68407.076396614182"/>
    <n v="75251.785543468373"/>
    <n v="-6844.7091468541912"/>
    <n v="-373.76970271480843"/>
    <n v="-7218.478849569"/>
    <n v="0"/>
    <n v="0"/>
    <n v="0"/>
    <n v="-7218.478849569"/>
  </r>
  <r>
    <x v="7"/>
    <d v="2022-09-05T00:00:00"/>
    <d v="2022-09-23T00:00:00"/>
    <x v="5"/>
    <n v="9"/>
    <n v="47"/>
    <n v="1393.5515841383033"/>
    <n v="1266.7977110484107"/>
    <n v="59539.492419275302"/>
    <n v="65496.924454500251"/>
    <n v="-5957.4320352249488"/>
    <n v="-325.31807458511105"/>
    <n v="-6282.7501098100602"/>
    <n v="0"/>
    <n v="0"/>
    <n v="0"/>
    <n v="-6282.7501098100602"/>
  </r>
  <r>
    <x v="8"/>
    <d v="2022-10-05T00:00:00"/>
    <d v="2022-10-25T00:00:00"/>
    <x v="5"/>
    <n v="9"/>
    <n v="47"/>
    <n v="1393.5515841383033"/>
    <n v="1266.7977110484107"/>
    <n v="59539.492419275302"/>
    <n v="65496.924454500251"/>
    <n v="-5957.4320352249488"/>
    <n v="-325.31807458511105"/>
    <n v="-6282.7501098100602"/>
    <n v="0"/>
    <n v="0"/>
    <n v="0"/>
    <n v="-6282.7501098100602"/>
  </r>
  <r>
    <x v="9"/>
    <d v="2022-11-03T00:00:00"/>
    <d v="2022-11-23T00:00:00"/>
    <x v="5"/>
    <n v="9"/>
    <n v="39"/>
    <n v="1393.5515841383033"/>
    <n v="1266.7977110484107"/>
    <n v="49405.110730888016"/>
    <n v="54348.511781393827"/>
    <n v="-4943.4010505058104"/>
    <n v="-269.94478529402829"/>
    <n v="-5213.3458357998388"/>
    <n v="0"/>
    <n v="0"/>
    <n v="0"/>
    <n v="-5213.3458357998388"/>
  </r>
  <r>
    <x v="10"/>
    <d v="2022-12-05T00:00:00"/>
    <d v="2022-12-23T00:00:00"/>
    <x v="5"/>
    <n v="9"/>
    <n v="45"/>
    <n v="1393.5515841383033"/>
    <n v="1266.7977110484107"/>
    <n v="57005.896997178483"/>
    <n v="62709.821286223647"/>
    <n v="-5703.9242890451642"/>
    <n v="-311.47475226234036"/>
    <n v="-6015.3990413075044"/>
    <n v="0"/>
    <n v="0"/>
    <n v="0"/>
    <n v="-6015.3990413075044"/>
  </r>
  <r>
    <x v="11"/>
    <d v="2023-01-04T00:00:00"/>
    <d v="2023-01-24T00:00:00"/>
    <x v="5"/>
    <n v="9"/>
    <n v="61"/>
    <n v="1393.5515841383033"/>
    <n v="1266.7977110484107"/>
    <n v="77274.660373953055"/>
    <n v="85006.646632436503"/>
    <n v="-7731.9862584834482"/>
    <n v="-422.22133084450576"/>
    <n v="-8154.2075893279543"/>
    <n v="0"/>
    <n v="0"/>
    <n v="0"/>
    <n v="-8154.2075893279543"/>
  </r>
  <r>
    <x v="0"/>
    <d v="2022-02-03T00:00:00"/>
    <d v="2022-02-23T00:00:00"/>
    <x v="6"/>
    <n v="9"/>
    <n v="92"/>
    <n v="1393.5515841383033"/>
    <n v="1266.7977110484107"/>
    <n v="116545.38941645379"/>
    <n v="128206.7457407239"/>
    <n v="-11661.356324270106"/>
    <n v="-636.79282684745135"/>
    <n v="-12298.149151117557"/>
    <n v="0"/>
    <n v="0"/>
    <n v="0"/>
    <n v="-12298.149151117557"/>
  </r>
  <r>
    <x v="1"/>
    <d v="2022-03-03T00:00:00"/>
    <d v="2022-03-22T00:00:00"/>
    <x v="6"/>
    <n v="9"/>
    <n v="88"/>
    <n v="1393.5515841383033"/>
    <n v="1266.7977110484107"/>
    <n v="111478.19857226015"/>
    <n v="122632.53940417069"/>
    <n v="-11154.340831910537"/>
    <n v="-609.10618220190997"/>
    <n v="-11763.447014112446"/>
    <n v="0"/>
    <n v="0"/>
    <n v="0"/>
    <n v="-11763.447014112446"/>
  </r>
  <r>
    <x v="2"/>
    <d v="2022-04-05T00:00:00"/>
    <d v="2022-04-25T00:00:00"/>
    <x v="6"/>
    <n v="9"/>
    <n v="71"/>
    <n v="1393.5515841383033"/>
    <n v="1266.7977110484107"/>
    <n v="89942.63748443716"/>
    <n v="98942.162473819539"/>
    <n v="-8999.5249893823784"/>
    <n v="-491.4379424583592"/>
    <n v="-9490.9629318407369"/>
    <n v="0"/>
    <n v="0"/>
    <n v="0"/>
    <n v="-9490.9629318407369"/>
  </r>
  <r>
    <x v="3"/>
    <d v="2022-05-04T00:00:00"/>
    <d v="2022-05-24T00:00:00"/>
    <x v="6"/>
    <n v="9"/>
    <n v="76"/>
    <n v="1393.5515841383033"/>
    <n v="1266.7977110484107"/>
    <n v="96276.62603967922"/>
    <n v="105909.92039451105"/>
    <n v="-9633.294354831829"/>
    <n v="-526.04624826528595"/>
    <n v="-10159.340603097115"/>
    <n v="0"/>
    <n v="0"/>
    <n v="0"/>
    <n v="-10159.340603097115"/>
  </r>
  <r>
    <x v="4"/>
    <d v="2022-06-03T00:00:00"/>
    <d v="2022-06-23T00:00:00"/>
    <x v="6"/>
    <n v="9"/>
    <n v="134"/>
    <n v="1393.5515841383033"/>
    <n v="1266.7977110484107"/>
    <n v="169750.89328048704"/>
    <n v="186735.91227453263"/>
    <n v="-16985.018994045589"/>
    <n v="-927.50259562563565"/>
    <n v="-17912.521589671225"/>
    <n v="0"/>
    <n v="0"/>
    <n v="0"/>
    <n v="-17912.521589671225"/>
  </r>
  <r>
    <x v="5"/>
    <d v="2022-07-05T00:00:00"/>
    <d v="2022-07-25T00:00:00"/>
    <x v="6"/>
    <n v="9"/>
    <n v="145"/>
    <n v="1393.5515841383033"/>
    <n v="1266.7977110484107"/>
    <n v="183685.66810201955"/>
    <n v="202064.97970005398"/>
    <n v="-18379.31159803443"/>
    <n v="-1003.6408684008744"/>
    <n v="-19382.952466435305"/>
    <n v="0"/>
    <n v="0"/>
    <n v="0"/>
    <n v="-19382.952466435305"/>
  </r>
  <r>
    <x v="6"/>
    <d v="2022-08-03T00:00:00"/>
    <d v="2022-08-23T00:00:00"/>
    <x v="6"/>
    <n v="9"/>
    <n v="161"/>
    <n v="1393.5515841383033"/>
    <n v="1266.7977110484107"/>
    <n v="203954.43147879414"/>
    <n v="224361.80504626682"/>
    <n v="-20407.373567472678"/>
    <n v="-1114.3874469830398"/>
    <n v="-21521.761014455718"/>
    <n v="0"/>
    <n v="0"/>
    <n v="0"/>
    <n v="-21521.761014455718"/>
  </r>
  <r>
    <x v="7"/>
    <d v="2022-09-05T00:00:00"/>
    <d v="2022-09-23T00:00:00"/>
    <x v="6"/>
    <n v="9"/>
    <n v="154"/>
    <n v="1393.5515841383033"/>
    <n v="1266.7977110484107"/>
    <n v="195086.84750145525"/>
    <n v="214606.9439572987"/>
    <n v="-19520.09645584345"/>
    <n v="-1065.9358188533424"/>
    <n v="-20586.032274696794"/>
    <n v="0"/>
    <n v="0"/>
    <n v="0"/>
    <n v="-20586.032274696794"/>
  </r>
  <r>
    <x v="8"/>
    <d v="2022-10-05T00:00:00"/>
    <d v="2022-10-25T00:00:00"/>
    <x v="6"/>
    <n v="9"/>
    <n v="132"/>
    <n v="1393.5515841383033"/>
    <n v="1266.7977110484107"/>
    <n v="167217.29785839023"/>
    <n v="183948.80910625603"/>
    <n v="-16731.511247865797"/>
    <n v="-913.65927330286502"/>
    <n v="-17645.170521168664"/>
    <n v="0"/>
    <n v="0"/>
    <n v="0"/>
    <n v="-17645.170521168664"/>
  </r>
  <r>
    <x v="9"/>
    <d v="2022-11-03T00:00:00"/>
    <d v="2022-11-23T00:00:00"/>
    <x v="6"/>
    <n v="9"/>
    <n v="91"/>
    <n v="1393.5515841383033"/>
    <n v="1266.7977110484107"/>
    <n v="115278.59170540537"/>
    <n v="126813.1941565856"/>
    <n v="-11534.602451180224"/>
    <n v="-629.87116568606598"/>
    <n v="-12164.473616866289"/>
    <n v="0"/>
    <n v="0"/>
    <n v="0"/>
    <n v="-12164.473616866289"/>
  </r>
  <r>
    <x v="10"/>
    <d v="2022-12-05T00:00:00"/>
    <d v="2022-12-23T00:00:00"/>
    <x v="6"/>
    <n v="9"/>
    <n v="67"/>
    <n v="1393.5515841383033"/>
    <n v="1266.7977110484107"/>
    <n v="84875.446640243521"/>
    <n v="93367.956137266316"/>
    <n v="-8492.5094970227947"/>
    <n v="-463.75129781281782"/>
    <n v="-8956.2607948356126"/>
    <n v="0"/>
    <n v="0"/>
    <n v="0"/>
    <n v="-8956.2607948356126"/>
  </r>
  <r>
    <x v="11"/>
    <d v="2023-01-04T00:00:00"/>
    <d v="2023-01-24T00:00:00"/>
    <x v="6"/>
    <n v="9"/>
    <n v="96"/>
    <n v="1393.5515841383033"/>
    <n v="1266.7977110484107"/>
    <n v="121612.58026064743"/>
    <n v="133780.95207727712"/>
    <n v="-12168.371816629689"/>
    <n v="-664.47947149299273"/>
    <n v="-12832.851288122682"/>
    <n v="0"/>
    <n v="0"/>
    <n v="0"/>
    <n v="-12832.851288122682"/>
  </r>
  <r>
    <x v="0"/>
    <d v="2022-02-03T00:00:00"/>
    <d v="2022-02-23T00:00:00"/>
    <x v="7"/>
    <n v="9"/>
    <n v="42"/>
    <n v="1393.5515841383033"/>
    <n v="1266.7977110484107"/>
    <n v="53205.50386403325"/>
    <n v="58529.16653380874"/>
    <n v="-5323.6626697754909"/>
    <n v="-290.7097687781843"/>
    <n v="-5614.3724385536752"/>
    <n v="0"/>
    <n v="0"/>
    <n v="0"/>
    <n v="-5614.3724385536752"/>
  </r>
  <r>
    <x v="1"/>
    <d v="2022-03-03T00:00:00"/>
    <d v="2022-03-22T00:00:00"/>
    <x v="7"/>
    <n v="9"/>
    <n v="43"/>
    <n v="1393.5515841383033"/>
    <n v="1266.7977110484107"/>
    <n v="54472.301575081663"/>
    <n v="59922.718117947043"/>
    <n v="-5450.4165428653796"/>
    <n v="-297.63142993956967"/>
    <n v="-5748.0479728049495"/>
    <n v="0"/>
    <n v="0"/>
    <n v="0"/>
    <n v="-5748.0479728049495"/>
  </r>
  <r>
    <x v="2"/>
    <d v="2022-04-05T00:00:00"/>
    <d v="2022-04-25T00:00:00"/>
    <x v="7"/>
    <n v="9"/>
    <n v="42"/>
    <n v="1393.5515841383033"/>
    <n v="1266.7977110484107"/>
    <n v="53205.50386403325"/>
    <n v="58529.16653380874"/>
    <n v="-5323.6626697754909"/>
    <n v="-290.7097687781843"/>
    <n v="-5614.3724385536752"/>
    <n v="0"/>
    <n v="0"/>
    <n v="0"/>
    <n v="-5614.3724385536752"/>
  </r>
  <r>
    <x v="3"/>
    <d v="2022-05-04T00:00:00"/>
    <d v="2022-05-24T00:00:00"/>
    <x v="7"/>
    <n v="9"/>
    <n v="52"/>
    <n v="1393.5515841383033"/>
    <n v="1266.7977110484107"/>
    <n v="65873.480974517355"/>
    <n v="72464.682375191769"/>
    <n v="-6591.2014006744139"/>
    <n v="-359.92638039203769"/>
    <n v="-6951.1277810664515"/>
    <n v="0"/>
    <n v="0"/>
    <n v="0"/>
    <n v="-6951.1277810664515"/>
  </r>
  <r>
    <x v="4"/>
    <d v="2022-06-03T00:00:00"/>
    <d v="2022-06-23T00:00:00"/>
    <x v="7"/>
    <n v="9"/>
    <n v="52"/>
    <n v="1393.5515841383033"/>
    <n v="1266.7977110484107"/>
    <n v="65873.480974517355"/>
    <n v="72464.682375191769"/>
    <n v="-6591.2014006744139"/>
    <n v="-359.92638039203769"/>
    <n v="-6951.1277810664515"/>
    <n v="0"/>
    <n v="0"/>
    <n v="0"/>
    <n v="-6951.1277810664515"/>
  </r>
  <r>
    <x v="5"/>
    <d v="2022-07-05T00:00:00"/>
    <d v="2022-07-25T00:00:00"/>
    <x v="7"/>
    <n v="9"/>
    <n v="56"/>
    <n v="1393.5515841383033"/>
    <n v="1266.7977110484107"/>
    <n v="70940.671818711009"/>
    <n v="78038.888711744978"/>
    <n v="-7098.2168930339685"/>
    <n v="-387.61302503757906"/>
    <n v="-7485.8299180715476"/>
    <n v="0"/>
    <n v="0"/>
    <n v="0"/>
    <n v="-7485.8299180715476"/>
  </r>
  <r>
    <x v="6"/>
    <d v="2022-08-03T00:00:00"/>
    <d v="2022-08-23T00:00:00"/>
    <x v="7"/>
    <n v="9"/>
    <n v="58"/>
    <n v="1393.5515841383033"/>
    <n v="1266.7977110484107"/>
    <n v="73474.267240807822"/>
    <n v="80825.991880021596"/>
    <n v="-7351.7246392137749"/>
    <n v="-401.45634736034975"/>
    <n v="-7753.1809865741243"/>
    <n v="0"/>
    <n v="0"/>
    <n v="0"/>
    <n v="-7753.1809865741243"/>
  </r>
  <r>
    <x v="7"/>
    <d v="2022-09-05T00:00:00"/>
    <d v="2022-09-23T00:00:00"/>
    <x v="7"/>
    <n v="9"/>
    <n v="60"/>
    <n v="1393.5515841383033"/>
    <n v="1266.7977110484107"/>
    <n v="76007.862662904648"/>
    <n v="83613.095048298201"/>
    <n v="-7605.2323853935522"/>
    <n v="-415.29966968312038"/>
    <n v="-8020.5320550766728"/>
    <n v="0"/>
    <n v="0"/>
    <n v="0"/>
    <n v="-8020.5320550766728"/>
  </r>
  <r>
    <x v="8"/>
    <d v="2022-10-05T00:00:00"/>
    <d v="2022-10-25T00:00:00"/>
    <x v="7"/>
    <n v="9"/>
    <n v="58"/>
    <n v="1393.5515841383033"/>
    <n v="1266.7977110484107"/>
    <n v="73474.267240807822"/>
    <n v="80825.991880021596"/>
    <n v="-7351.7246392137749"/>
    <n v="-401.45634736034975"/>
    <n v="-7753.1809865741243"/>
    <n v="0"/>
    <n v="0"/>
    <n v="0"/>
    <n v="-7753.1809865741243"/>
  </r>
  <r>
    <x v="9"/>
    <d v="2022-11-03T00:00:00"/>
    <d v="2022-11-23T00:00:00"/>
    <x v="7"/>
    <n v="9"/>
    <n v="56"/>
    <n v="1393.5515841383033"/>
    <n v="1266.7977110484107"/>
    <n v="70940.671818711009"/>
    <n v="78038.888711744978"/>
    <n v="-7098.2168930339685"/>
    <n v="-387.61302503757906"/>
    <n v="-7485.8299180715476"/>
    <n v="0"/>
    <n v="0"/>
    <n v="0"/>
    <n v="-7485.8299180715476"/>
  </r>
  <r>
    <x v="10"/>
    <d v="2022-12-05T00:00:00"/>
    <d v="2022-12-23T00:00:00"/>
    <x v="7"/>
    <n v="9"/>
    <n v="59"/>
    <n v="1393.5515841383033"/>
    <n v="1266.7977110484107"/>
    <n v="74741.064951856228"/>
    <n v="82219.543464159899"/>
    <n v="-7478.4785123036709"/>
    <n v="-408.37800852173513"/>
    <n v="-7886.8565208254058"/>
    <n v="0"/>
    <n v="0"/>
    <n v="0"/>
    <n v="-7886.8565208254058"/>
  </r>
  <r>
    <x v="11"/>
    <d v="2023-01-04T00:00:00"/>
    <d v="2023-01-24T00:00:00"/>
    <x v="7"/>
    <n v="9"/>
    <n v="58"/>
    <n v="1393.5515841383033"/>
    <n v="1266.7977110484107"/>
    <n v="73474.267240807822"/>
    <n v="80825.991880021596"/>
    <n v="-7351.7246392137749"/>
    <n v="-401.45634736034975"/>
    <n v="-7753.1809865741243"/>
    <n v="0"/>
    <n v="0"/>
    <n v="0"/>
    <n v="-7753.1809865741243"/>
  </r>
  <r>
    <x v="0"/>
    <d v="2022-02-03T00:00:00"/>
    <d v="2022-02-23T00:00:00"/>
    <x v="8"/>
    <n v="9"/>
    <n v="1045"/>
    <n v="1393.5515841383033"/>
    <n v="1266.7977110484107"/>
    <n v="1323803.6080455892"/>
    <n v="1456261.4054245269"/>
    <n v="-132457.79737893771"/>
    <n v="-7233.1359136476813"/>
    <n v="-139690.9332925854"/>
    <n v="0"/>
    <n v="0"/>
    <n v="0"/>
    <n v="-139690.9332925854"/>
  </r>
  <r>
    <x v="1"/>
    <d v="2022-03-03T00:00:00"/>
    <d v="2022-03-22T00:00:00"/>
    <x v="8"/>
    <n v="9"/>
    <n v="1114"/>
    <n v="1393.5515841383033"/>
    <n v="1266.7977110484107"/>
    <n v="1411212.6501079295"/>
    <n v="1552416.4647300697"/>
    <n v="-141203.81462214026"/>
    <n v="-7710.7305337832695"/>
    <n v="-148914.54515592352"/>
    <n v="0"/>
    <n v="0"/>
    <n v="0"/>
    <n v="-148914.54515592352"/>
  </r>
  <r>
    <x v="2"/>
    <d v="2022-04-05T00:00:00"/>
    <d v="2022-04-25T00:00:00"/>
    <x v="8"/>
    <n v="9"/>
    <n v="977"/>
    <n v="1393.5515841383033"/>
    <n v="1266.7977110484107"/>
    <n v="1237661.3636942974"/>
    <n v="1361499.8977031223"/>
    <n v="-123838.53400882496"/>
    <n v="-6762.4629546734777"/>
    <n v="-130600.99696349844"/>
    <n v="0"/>
    <n v="0"/>
    <n v="0"/>
    <n v="-130600.99696349844"/>
  </r>
  <r>
    <x v="3"/>
    <d v="2022-05-04T00:00:00"/>
    <d v="2022-05-24T00:00:00"/>
    <x v="8"/>
    <n v="9"/>
    <n v="539"/>
    <n v="1393.5515841383033"/>
    <n v="1266.7977110484107"/>
    <n v="682803.96625509334"/>
    <n v="751124.30385054543"/>
    <n v="-68320.337595452089"/>
    <n v="-3730.7753659866985"/>
    <n v="-72051.11296143879"/>
    <n v="0"/>
    <n v="0"/>
    <n v="0"/>
    <n v="-72051.11296143879"/>
  </r>
  <r>
    <x v="4"/>
    <d v="2022-06-03T00:00:00"/>
    <d v="2022-06-23T00:00:00"/>
    <x v="8"/>
    <n v="9"/>
    <n v="754"/>
    <n v="1393.5515841383033"/>
    <n v="1266.7977110484107"/>
    <n v="955165.47413050174"/>
    <n v="1050737.8944402807"/>
    <n v="-95572.420309779001"/>
    <n v="-5218.9325156845471"/>
    <n v="-100791.35282546355"/>
    <n v="0"/>
    <n v="0"/>
    <n v="0"/>
    <n v="-100791.35282546355"/>
  </r>
  <r>
    <x v="5"/>
    <d v="2022-07-05T00:00:00"/>
    <d v="2022-07-25T00:00:00"/>
    <x v="8"/>
    <n v="9"/>
    <n v="946"/>
    <n v="1393.5515841383033"/>
    <n v="1266.7977110484107"/>
    <n v="1198390.6346517967"/>
    <n v="1318299.798594835"/>
    <n v="-119909.16394303832"/>
    <n v="-6547.8914586705323"/>
    <n v="-126457.05540170886"/>
    <n v="0"/>
    <n v="0"/>
    <n v="0"/>
    <n v="-126457.05540170886"/>
  </r>
  <r>
    <x v="6"/>
    <d v="2022-08-03T00:00:00"/>
    <d v="2022-08-23T00:00:00"/>
    <x v="8"/>
    <n v="9"/>
    <n v="979"/>
    <n v="1393.5515841383033"/>
    <n v="1266.7977110484107"/>
    <n v="1240194.9591163942"/>
    <n v="1364287.000871399"/>
    <n v="-124092.04175500479"/>
    <n v="-6776.306276996248"/>
    <n v="-130868.34803200103"/>
    <n v="0"/>
    <n v="0"/>
    <n v="0"/>
    <n v="-130868.34803200103"/>
  </r>
  <r>
    <x v="7"/>
    <d v="2022-09-05T00:00:00"/>
    <d v="2022-09-23T00:00:00"/>
    <x v="8"/>
    <n v="9"/>
    <n v="973"/>
    <n v="1393.5515841383033"/>
    <n v="1266.7977110484107"/>
    <n v="1232594.1728501036"/>
    <n v="1355925.6913665691"/>
    <n v="-123331.51851646556"/>
    <n v="-6734.7763100279362"/>
    <n v="-130066.2948264935"/>
    <n v="0"/>
    <n v="0"/>
    <n v="0"/>
    <n v="-130066.2948264935"/>
  </r>
  <r>
    <x v="8"/>
    <d v="2022-10-05T00:00:00"/>
    <d v="2022-10-25T00:00:00"/>
    <x v="8"/>
    <n v="9"/>
    <n v="847"/>
    <n v="1393.5515841383033"/>
    <n v="1266.7977110484107"/>
    <n v="1072977.6612580039"/>
    <n v="1180338.1917651428"/>
    <n v="-107360.53050713893"/>
    <n v="-5862.6470036933833"/>
    <n v="-113223.17751083232"/>
    <n v="0"/>
    <n v="0"/>
    <n v="0"/>
    <n v="-113223.17751083232"/>
  </r>
  <r>
    <x v="9"/>
    <d v="2022-11-03T00:00:00"/>
    <d v="2022-11-23T00:00:00"/>
    <x v="8"/>
    <n v="9"/>
    <n v="609"/>
    <n v="1393.5515841383033"/>
    <n v="1266.7977110484107"/>
    <n v="771479.80602848215"/>
    <n v="848672.9147402267"/>
    <n v="-77193.108711744542"/>
    <n v="-4215.2916472836723"/>
    <n v="-81408.400359028208"/>
    <n v="0"/>
    <n v="0"/>
    <n v="0"/>
    <n v="-81408.400359028208"/>
  </r>
  <r>
    <x v="10"/>
    <d v="2022-12-05T00:00:00"/>
    <d v="2022-12-23T00:00:00"/>
    <x v="8"/>
    <n v="9"/>
    <n v="807"/>
    <n v="1393.5515841383033"/>
    <n v="1266.7977110484107"/>
    <n v="1022305.7528160674"/>
    <n v="1124596.1283996108"/>
    <n v="-102290.37558354333"/>
    <n v="-5585.7805572379702"/>
    <n v="-107876.1561407813"/>
    <n v="0"/>
    <n v="0"/>
    <n v="0"/>
    <n v="-107876.1561407813"/>
  </r>
  <r>
    <x v="11"/>
    <d v="2023-01-04T00:00:00"/>
    <d v="2023-01-24T00:00:00"/>
    <x v="8"/>
    <n v="9"/>
    <n v="1434"/>
    <n v="1393.5515841383033"/>
    <n v="1266.7977110484107"/>
    <n v="1816587.9176434211"/>
    <n v="1998352.9716543269"/>
    <n v="-181765.05401090579"/>
    <n v="-9925.6621054265779"/>
    <n v="-191690.71611633236"/>
    <n v="0"/>
    <n v="0"/>
    <n v="0"/>
    <n v="-191690.71611633236"/>
  </r>
  <r>
    <x v="0"/>
    <d v="2022-02-03T00:00:00"/>
    <d v="2022-02-23T00:00:00"/>
    <x v="9"/>
    <n v="9"/>
    <n v="8"/>
    <n v="1393.5515841383033"/>
    <n v="1266.7977110484107"/>
    <n v="10134.381688387286"/>
    <n v="11148.412673106426"/>
    <n v="-1014.0309847191402"/>
    <n v="-55.373289291082727"/>
    <n v="-1069.4042740102229"/>
    <n v="0"/>
    <n v="0"/>
    <n v="0"/>
    <n v="-1069.4042740102229"/>
  </r>
  <r>
    <x v="1"/>
    <d v="2022-03-03T00:00:00"/>
    <d v="2022-03-22T00:00:00"/>
    <x v="9"/>
    <n v="9"/>
    <n v="7"/>
    <n v="1393.5515841383033"/>
    <n v="1266.7977110484107"/>
    <n v="8867.5839773388761"/>
    <n v="9754.8610889681222"/>
    <n v="-887.27711162924606"/>
    <n v="-48.451628129697383"/>
    <n v="-935.72873975894345"/>
    <n v="0"/>
    <n v="0"/>
    <n v="0"/>
    <n v="-935.72873975894345"/>
  </r>
  <r>
    <x v="2"/>
    <d v="2022-04-05T00:00:00"/>
    <d v="2022-04-25T00:00:00"/>
    <x v="9"/>
    <n v="9"/>
    <n v="5"/>
    <n v="1393.5515841383033"/>
    <n v="1266.7977110484107"/>
    <n v="6333.9885552420537"/>
    <n v="6967.7579206915161"/>
    <n v="-633.76936544946238"/>
    <n v="-34.608305806926701"/>
    <n v="-668.37767125638914"/>
    <n v="0"/>
    <n v="0"/>
    <n v="0"/>
    <n v="-668.37767125638914"/>
  </r>
  <r>
    <x v="3"/>
    <d v="2022-05-04T00:00:00"/>
    <d v="2022-05-24T00:00:00"/>
    <x v="9"/>
    <n v="9"/>
    <n v="7"/>
    <n v="1393.5515841383033"/>
    <n v="1266.7977110484107"/>
    <n v="8867.5839773388761"/>
    <n v="9754.8610889681222"/>
    <n v="-887.27711162924606"/>
    <n v="-48.451628129697383"/>
    <n v="-935.72873975894345"/>
    <n v="0"/>
    <n v="0"/>
    <n v="0"/>
    <n v="-935.72873975894345"/>
  </r>
  <r>
    <x v="4"/>
    <d v="2022-06-03T00:00:00"/>
    <d v="2022-06-23T00:00:00"/>
    <x v="9"/>
    <n v="9"/>
    <n v="10"/>
    <n v="1393.5515841383033"/>
    <n v="1266.7977110484107"/>
    <n v="12667.977110484107"/>
    <n v="13935.515841383032"/>
    <n v="-1267.5387308989248"/>
    <n v="-69.216611613853402"/>
    <n v="-1336.7553425127783"/>
    <n v="0"/>
    <n v="0"/>
    <n v="0"/>
    <n v="-1336.7553425127783"/>
  </r>
  <r>
    <x v="5"/>
    <d v="2022-07-05T00:00:00"/>
    <d v="2022-07-25T00:00:00"/>
    <x v="9"/>
    <n v="9"/>
    <n v="14"/>
    <n v="1393.5515841383033"/>
    <n v="1266.7977110484107"/>
    <n v="17735.167954677752"/>
    <n v="19509.722177936244"/>
    <n v="-1774.5542232584921"/>
    <n v="-96.903256259394766"/>
    <n v="-1871.4574795178869"/>
    <n v="0"/>
    <n v="0"/>
    <n v="0"/>
    <n v="-1871.4574795178869"/>
  </r>
  <r>
    <x v="6"/>
    <d v="2022-08-03T00:00:00"/>
    <d v="2022-08-23T00:00:00"/>
    <x v="9"/>
    <n v="9"/>
    <n v="18"/>
    <n v="1393.5515841383033"/>
    <n v="1266.7977110484107"/>
    <n v="22802.358798871392"/>
    <n v="25083.92851448946"/>
    <n v="-2281.5697156180686"/>
    <n v="-124.58990090493614"/>
    <n v="-2406.1596165230048"/>
    <n v="0"/>
    <n v="0"/>
    <n v="0"/>
    <n v="-2406.1596165230048"/>
  </r>
  <r>
    <x v="7"/>
    <d v="2022-09-05T00:00:00"/>
    <d v="2022-09-23T00:00:00"/>
    <x v="9"/>
    <n v="9"/>
    <n v="16"/>
    <n v="1393.5515841383033"/>
    <n v="1266.7977110484107"/>
    <n v="20268.763376774572"/>
    <n v="22296.825346212852"/>
    <n v="-2028.0619694382804"/>
    <n v="-110.74657858216545"/>
    <n v="-2138.8085480204459"/>
    <n v="0"/>
    <n v="0"/>
    <n v="0"/>
    <n v="-2138.8085480204459"/>
  </r>
  <r>
    <x v="8"/>
    <d v="2022-10-05T00:00:00"/>
    <d v="2022-10-25T00:00:00"/>
    <x v="9"/>
    <n v="9"/>
    <n v="9"/>
    <n v="1393.5515841383033"/>
    <n v="1266.7977110484107"/>
    <n v="11401.179399435696"/>
    <n v="12541.96425724473"/>
    <n v="-1140.7848578090343"/>
    <n v="-62.294950452468072"/>
    <n v="-1203.0798082615024"/>
    <n v="0"/>
    <n v="0"/>
    <n v="0"/>
    <n v="-1203.0798082615024"/>
  </r>
  <r>
    <x v="9"/>
    <d v="2022-11-03T00:00:00"/>
    <d v="2022-11-23T00:00:00"/>
    <x v="9"/>
    <n v="9"/>
    <n v="6"/>
    <n v="1393.5515841383033"/>
    <n v="1266.7977110484107"/>
    <n v="7600.7862662904645"/>
    <n v="8361.3095048298201"/>
    <n v="-760.52323853935559"/>
    <n v="-41.529966968312046"/>
    <n v="-802.0532055076676"/>
    <n v="0"/>
    <n v="0"/>
    <n v="0"/>
    <n v="-802.0532055076676"/>
  </r>
  <r>
    <x v="10"/>
    <d v="2022-12-05T00:00:00"/>
    <d v="2022-12-23T00:00:00"/>
    <x v="9"/>
    <n v="9"/>
    <n v="6"/>
    <n v="1393.5515841383033"/>
    <n v="1266.7977110484107"/>
    <n v="7600.7862662904645"/>
    <n v="8361.3095048298201"/>
    <n v="-760.52323853935559"/>
    <n v="-41.529966968312046"/>
    <n v="-802.0532055076676"/>
    <n v="0"/>
    <n v="0"/>
    <n v="0"/>
    <n v="-802.0532055076676"/>
  </r>
  <r>
    <x v="11"/>
    <d v="2023-01-04T00:00:00"/>
    <d v="2023-01-24T00:00:00"/>
    <x v="9"/>
    <n v="9"/>
    <n v="8"/>
    <n v="1393.5515841383033"/>
    <n v="1266.7977110484107"/>
    <n v="10134.381688387286"/>
    <n v="11148.412673106426"/>
    <n v="-1014.0309847191402"/>
    <n v="-55.373289291082727"/>
    <n v="-1069.4042740102229"/>
    <n v="0"/>
    <n v="0"/>
    <n v="0"/>
    <n v="-1069.4042740102229"/>
  </r>
  <r>
    <x v="0"/>
    <d v="2022-02-03T00:00:00"/>
    <d v="2022-02-23T00:00:00"/>
    <x v="10"/>
    <n v="9"/>
    <n v="3"/>
    <n v="1393.5515841383033"/>
    <n v="1266.7977110484107"/>
    <n v="3800.3931331452322"/>
    <n v="4180.65475241491"/>
    <n v="-380.26161926967779"/>
    <n v="-20.764983484156023"/>
    <n v="-401.0266027538338"/>
    <n v="0"/>
    <n v="0"/>
    <n v="0"/>
    <n v="-401.0266027538338"/>
  </r>
  <r>
    <x v="1"/>
    <d v="2022-03-03T00:00:00"/>
    <d v="2022-03-22T00:00:00"/>
    <x v="10"/>
    <n v="9"/>
    <n v="2"/>
    <n v="1393.5515841383033"/>
    <n v="1266.7977110484107"/>
    <n v="2533.5954220968215"/>
    <n v="2787.1031682766065"/>
    <n v="-253.50774617978504"/>
    <n v="-13.843322322770682"/>
    <n v="-267.35106850255573"/>
    <n v="0"/>
    <n v="0"/>
    <n v="0"/>
    <n v="-267.35106850255573"/>
  </r>
  <r>
    <x v="2"/>
    <d v="2022-04-05T00:00:00"/>
    <d v="2022-04-25T00:00:00"/>
    <x v="10"/>
    <n v="9"/>
    <n v="3"/>
    <n v="1393.5515841383033"/>
    <n v="1266.7977110484107"/>
    <n v="3800.3931331452322"/>
    <n v="4180.65475241491"/>
    <n v="-380.26161926967779"/>
    <n v="-20.764983484156023"/>
    <n v="-401.0266027538338"/>
    <n v="0"/>
    <n v="0"/>
    <n v="0"/>
    <n v="-401.0266027538338"/>
  </r>
  <r>
    <x v="3"/>
    <d v="2022-05-04T00:00:00"/>
    <d v="2022-05-24T00:00:00"/>
    <x v="10"/>
    <n v="9"/>
    <n v="2"/>
    <n v="1393.5515841383033"/>
    <n v="1266.7977110484107"/>
    <n v="2533.5954220968215"/>
    <n v="2787.1031682766065"/>
    <n v="-253.50774617978504"/>
    <n v="-13.843322322770682"/>
    <n v="-267.35106850255573"/>
    <n v="0"/>
    <n v="0"/>
    <n v="0"/>
    <n v="-267.35106850255573"/>
  </r>
  <r>
    <x v="4"/>
    <d v="2022-06-03T00:00:00"/>
    <d v="2022-06-23T00:00:00"/>
    <x v="10"/>
    <n v="9"/>
    <n v="3"/>
    <n v="1393.5515841383033"/>
    <n v="1266.7977110484107"/>
    <n v="3800.3931331452322"/>
    <n v="4180.65475241491"/>
    <n v="-380.26161926967779"/>
    <n v="-20.764983484156023"/>
    <n v="-401.0266027538338"/>
    <n v="0"/>
    <n v="0"/>
    <n v="0"/>
    <n v="-401.0266027538338"/>
  </r>
  <r>
    <x v="5"/>
    <d v="2022-07-05T00:00:00"/>
    <d v="2022-07-25T00:00:00"/>
    <x v="10"/>
    <n v="9"/>
    <n v="5"/>
    <n v="1393.5515841383033"/>
    <n v="1266.7977110484107"/>
    <n v="6333.9885552420537"/>
    <n v="6967.7579206915161"/>
    <n v="-633.76936544946238"/>
    <n v="-34.608305806926701"/>
    <n v="-668.37767125638914"/>
    <n v="0"/>
    <n v="0"/>
    <n v="0"/>
    <n v="-668.37767125638914"/>
  </r>
  <r>
    <x v="6"/>
    <d v="2022-08-03T00:00:00"/>
    <d v="2022-08-23T00:00:00"/>
    <x v="10"/>
    <n v="9"/>
    <n v="6"/>
    <n v="1393.5515841383033"/>
    <n v="1266.7977110484107"/>
    <n v="7600.7862662904645"/>
    <n v="8361.3095048298201"/>
    <n v="-760.52323853935559"/>
    <n v="-41.529966968312046"/>
    <n v="-802.0532055076676"/>
    <n v="0"/>
    <n v="0"/>
    <n v="0"/>
    <n v="-802.0532055076676"/>
  </r>
  <r>
    <x v="7"/>
    <d v="2022-09-05T00:00:00"/>
    <d v="2022-09-23T00:00:00"/>
    <x v="10"/>
    <n v="9"/>
    <n v="6"/>
    <n v="1393.5515841383033"/>
    <n v="1266.7977110484107"/>
    <n v="7600.7862662904645"/>
    <n v="8361.3095048298201"/>
    <n v="-760.52323853935559"/>
    <n v="-41.529966968312046"/>
    <n v="-802.0532055076676"/>
    <n v="0"/>
    <n v="0"/>
    <n v="0"/>
    <n v="-802.0532055076676"/>
  </r>
  <r>
    <x v="8"/>
    <d v="2022-10-05T00:00:00"/>
    <d v="2022-10-25T00:00:00"/>
    <x v="10"/>
    <n v="9"/>
    <n v="3"/>
    <n v="1393.5515841383033"/>
    <n v="1266.7977110484107"/>
    <n v="3800.3931331452322"/>
    <n v="4180.65475241491"/>
    <n v="-380.26161926967779"/>
    <n v="-20.764983484156023"/>
    <n v="-401.0266027538338"/>
    <n v="0"/>
    <n v="0"/>
    <n v="0"/>
    <n v="-401.0266027538338"/>
  </r>
  <r>
    <x v="9"/>
    <d v="2022-11-03T00:00:00"/>
    <d v="2022-11-23T00:00:00"/>
    <x v="10"/>
    <n v="9"/>
    <n v="2"/>
    <n v="1393.5515841383033"/>
    <n v="1266.7977110484107"/>
    <n v="2533.5954220968215"/>
    <n v="2787.1031682766065"/>
    <n v="-253.50774617978504"/>
    <n v="-13.843322322770682"/>
    <n v="-267.35106850255573"/>
    <n v="0"/>
    <n v="0"/>
    <n v="0"/>
    <n v="-267.35106850255573"/>
  </r>
  <r>
    <x v="10"/>
    <d v="2022-12-05T00:00:00"/>
    <d v="2022-12-23T00:00:00"/>
    <x v="10"/>
    <n v="9"/>
    <n v="1"/>
    <n v="1393.5515841383033"/>
    <n v="1266.7977110484107"/>
    <n v="1266.7977110484107"/>
    <n v="1393.5515841383033"/>
    <n v="-126.75387308989252"/>
    <n v="-6.9216611613853409"/>
    <n v="-133.67553425127787"/>
    <n v="0"/>
    <n v="0"/>
    <n v="0"/>
    <n v="-133.67553425127787"/>
  </r>
  <r>
    <x v="11"/>
    <d v="2023-01-04T00:00:00"/>
    <d v="2023-01-24T00:00:00"/>
    <x v="10"/>
    <n v="9"/>
    <n v="4"/>
    <n v="1393.5515841383033"/>
    <n v="1266.7977110484107"/>
    <n v="5067.190844193643"/>
    <n v="5574.2063365532131"/>
    <n v="-507.01549235957009"/>
    <n v="-27.686644645541364"/>
    <n v="-534.70213700511147"/>
    <n v="0"/>
    <n v="0"/>
    <n v="0"/>
    <n v="-534.70213700511147"/>
  </r>
  <r>
    <x v="0"/>
    <d v="2022-02-03T00:00:00"/>
    <d v="2022-02-23T00:00:00"/>
    <x v="11"/>
    <n v="9"/>
    <n v="121"/>
    <n v="1393.5515841383033"/>
    <n v="1266.7977110484107"/>
    <n v="153282.52303685769"/>
    <n v="168619.7416807347"/>
    <n v="-15337.218643877015"/>
    <n v="-837.52100052762626"/>
    <n v="-16174.739644404641"/>
    <n v="0"/>
    <n v="0"/>
    <n v="0"/>
    <n v="-16174.739644404641"/>
  </r>
  <r>
    <x v="1"/>
    <d v="2022-03-03T00:00:00"/>
    <d v="2022-03-22T00:00:00"/>
    <x v="11"/>
    <n v="9"/>
    <n v="109"/>
    <n v="1393.5515841383033"/>
    <n v="1266.7977110484107"/>
    <n v="138080.95050427679"/>
    <n v="151897.12267107505"/>
    <n v="-13816.172166798264"/>
    <n v="-754.46106659100212"/>
    <n v="-14570.633233389266"/>
    <n v="0"/>
    <n v="0"/>
    <n v="0"/>
    <n v="-14570.633233389266"/>
  </r>
  <r>
    <x v="2"/>
    <d v="2022-04-05T00:00:00"/>
    <d v="2022-04-25T00:00:00"/>
    <x v="11"/>
    <n v="9"/>
    <n v="95"/>
    <n v="1393.5515841383033"/>
    <n v="1266.7977110484107"/>
    <n v="120345.78254959903"/>
    <n v="132387.40049313882"/>
    <n v="-12041.617943539793"/>
    <n v="-657.55781033160736"/>
    <n v="-12699.175753871401"/>
    <n v="0"/>
    <n v="0"/>
    <n v="0"/>
    <n v="-12699.175753871401"/>
  </r>
  <r>
    <x v="3"/>
    <d v="2022-05-04T00:00:00"/>
    <d v="2022-05-24T00:00:00"/>
    <x v="11"/>
    <n v="9"/>
    <n v="93"/>
    <n v="1393.5515841383033"/>
    <n v="1266.7977110484107"/>
    <n v="117812.1871275022"/>
    <n v="129600.2973248622"/>
    <n v="-11788.110197360002"/>
    <n v="-643.71448800883672"/>
    <n v="-12431.824685368838"/>
    <n v="0"/>
    <n v="0"/>
    <n v="0"/>
    <n v="-12431.824685368838"/>
  </r>
  <r>
    <x v="4"/>
    <d v="2022-06-03T00:00:00"/>
    <d v="2022-06-23T00:00:00"/>
    <x v="11"/>
    <n v="9"/>
    <n v="125"/>
    <n v="1393.5515841383033"/>
    <n v="1266.7977110484107"/>
    <n v="158349.71388105134"/>
    <n v="174193.94801728791"/>
    <n v="-15844.23413623657"/>
    <n v="-865.20764517316752"/>
    <n v="-16709.441781409736"/>
    <n v="0"/>
    <n v="0"/>
    <n v="0"/>
    <n v="-16709.441781409736"/>
  </r>
  <r>
    <x v="5"/>
    <d v="2022-07-05T00:00:00"/>
    <d v="2022-07-25T00:00:00"/>
    <x v="11"/>
    <n v="9"/>
    <n v="159"/>
    <n v="1393.5515841383033"/>
    <n v="1266.7977110484107"/>
    <n v="201420.8360566973"/>
    <n v="221574.70187799021"/>
    <n v="-20153.865821292915"/>
    <n v="-1100.5441246602693"/>
    <n v="-21254.409945953183"/>
    <n v="0"/>
    <n v="0"/>
    <n v="0"/>
    <n v="-21254.409945953183"/>
  </r>
  <r>
    <x v="6"/>
    <d v="2022-08-03T00:00:00"/>
    <d v="2022-08-23T00:00:00"/>
    <x v="11"/>
    <n v="9"/>
    <n v="176"/>
    <n v="1393.5515841383033"/>
    <n v="1266.7977110484107"/>
    <n v="222956.39714452031"/>
    <n v="245265.07880834138"/>
    <n v="-22308.681663821073"/>
    <n v="-1218.2123644038199"/>
    <n v="-23526.894028224891"/>
    <n v="0"/>
    <n v="0"/>
    <n v="0"/>
    <n v="-23526.894028224891"/>
  </r>
  <r>
    <x v="7"/>
    <d v="2022-09-05T00:00:00"/>
    <d v="2022-09-23T00:00:00"/>
    <x v="11"/>
    <n v="9"/>
    <n v="167"/>
    <n v="1393.5515841383033"/>
    <n v="1266.7977110484107"/>
    <n v="211555.21774508461"/>
    <n v="232723.11455109666"/>
    <n v="-21167.896806012053"/>
    <n v="-1155.917413951352"/>
    <n v="-22323.814219963406"/>
    <n v="0"/>
    <n v="0"/>
    <n v="0"/>
    <n v="-22323.814219963406"/>
  </r>
  <r>
    <x v="8"/>
    <d v="2022-10-05T00:00:00"/>
    <d v="2022-10-25T00:00:00"/>
    <x v="11"/>
    <n v="9"/>
    <n v="153"/>
    <n v="1393.5515841383033"/>
    <n v="1266.7977110484107"/>
    <n v="193820.04979040683"/>
    <n v="213213.3923731604"/>
    <n v="-19393.342582753568"/>
    <n v="-1059.0141576919571"/>
    <n v="-20452.356740445524"/>
    <n v="0"/>
    <n v="0"/>
    <n v="0"/>
    <n v="-20452.356740445524"/>
  </r>
  <r>
    <x v="9"/>
    <d v="2022-11-03T00:00:00"/>
    <d v="2022-11-23T00:00:00"/>
    <x v="11"/>
    <n v="9"/>
    <n v="104"/>
    <n v="1393.5515841383033"/>
    <n v="1266.7977110484107"/>
    <n v="131746.96194903471"/>
    <n v="144929.36475038354"/>
    <n v="-13182.402801348828"/>
    <n v="-719.85276078407537"/>
    <n v="-13902.255562132903"/>
    <n v="0"/>
    <n v="0"/>
    <n v="0"/>
    <n v="-13902.255562132903"/>
  </r>
  <r>
    <x v="10"/>
    <d v="2022-12-05T00:00:00"/>
    <d v="2022-12-23T00:00:00"/>
    <x v="11"/>
    <n v="9"/>
    <n v="104"/>
    <n v="1393.5515841383033"/>
    <n v="1266.7977110484107"/>
    <n v="131746.96194903471"/>
    <n v="144929.36475038354"/>
    <n v="-13182.402801348828"/>
    <n v="-719.85276078407537"/>
    <n v="-13902.255562132903"/>
    <n v="0"/>
    <n v="0"/>
    <n v="0"/>
    <n v="-13902.255562132903"/>
  </r>
  <r>
    <x v="11"/>
    <d v="2023-01-04T00:00:00"/>
    <d v="2023-01-24T00:00:00"/>
    <x v="11"/>
    <n v="9"/>
    <n v="139"/>
    <n v="1393.5515841383033"/>
    <n v="1266.7977110484107"/>
    <n v="176084.88183572909"/>
    <n v="193703.67019522414"/>
    <n v="-17618.788359495054"/>
    <n v="-962.1109014325624"/>
    <n v="-18580.899260927617"/>
    <n v="0"/>
    <n v="0"/>
    <n v="0"/>
    <n v="-18580.899260927617"/>
  </r>
  <r>
    <x v="0"/>
    <d v="2022-02-03T00:00:00"/>
    <d v="2022-02-23T00:00:00"/>
    <x v="12"/>
    <n v="9"/>
    <n v="8"/>
    <n v="1393.5515841383033"/>
    <n v="1266.7977110484107"/>
    <n v="10134.381688387286"/>
    <n v="11148.412673106426"/>
    <n v="-1014.0309847191402"/>
    <n v="-55.373289291082727"/>
    <n v="-1069.4042740102229"/>
    <n v="0"/>
    <n v="0"/>
    <n v="0"/>
    <n v="-1069.4042740102229"/>
  </r>
  <r>
    <x v="1"/>
    <d v="2022-03-03T00:00:00"/>
    <d v="2022-03-22T00:00:00"/>
    <x v="12"/>
    <n v="9"/>
    <n v="11"/>
    <n v="1393.5515841383033"/>
    <n v="1266.7977110484107"/>
    <n v="13934.774821532519"/>
    <n v="15329.067425521336"/>
    <n v="-1394.2926039888171"/>
    <n v="-76.138272775238747"/>
    <n v="-1470.4308767640557"/>
    <n v="0"/>
    <n v="0"/>
    <n v="0"/>
    <n v="-1470.4308767640557"/>
  </r>
  <r>
    <x v="2"/>
    <d v="2022-04-05T00:00:00"/>
    <d v="2022-04-25T00:00:00"/>
    <x v="12"/>
    <n v="9"/>
    <n v="9"/>
    <n v="1393.5515841383033"/>
    <n v="1266.7977110484107"/>
    <n v="11401.179399435696"/>
    <n v="12541.96425724473"/>
    <n v="-1140.7848578090343"/>
    <n v="-62.294950452468072"/>
    <n v="-1203.0798082615024"/>
    <n v="0"/>
    <n v="0"/>
    <n v="0"/>
    <n v="-1203.0798082615024"/>
  </r>
  <r>
    <x v="3"/>
    <d v="2022-05-04T00:00:00"/>
    <d v="2022-05-24T00:00:00"/>
    <x v="12"/>
    <n v="9"/>
    <n v="11"/>
    <n v="1393.5515841383033"/>
    <n v="1266.7977110484107"/>
    <n v="13934.774821532519"/>
    <n v="15329.067425521336"/>
    <n v="-1394.2926039888171"/>
    <n v="-76.138272775238747"/>
    <n v="-1470.4308767640557"/>
    <n v="0"/>
    <n v="0"/>
    <n v="0"/>
    <n v="-1470.4308767640557"/>
  </r>
  <r>
    <x v="4"/>
    <d v="2022-06-03T00:00:00"/>
    <d v="2022-06-23T00:00:00"/>
    <x v="12"/>
    <n v="9"/>
    <n v="11"/>
    <n v="1393.5515841383033"/>
    <n v="1266.7977110484107"/>
    <n v="13934.774821532519"/>
    <n v="15329.067425521336"/>
    <n v="-1394.2926039888171"/>
    <n v="-76.138272775238747"/>
    <n v="-1470.4308767640557"/>
    <n v="0"/>
    <n v="0"/>
    <n v="0"/>
    <n v="-1470.4308767640557"/>
  </r>
  <r>
    <x v="5"/>
    <d v="2022-07-05T00:00:00"/>
    <d v="2022-07-25T00:00:00"/>
    <x v="12"/>
    <n v="9"/>
    <n v="14"/>
    <n v="1393.5515841383033"/>
    <n v="1266.7977110484107"/>
    <n v="17735.167954677752"/>
    <n v="19509.722177936244"/>
    <n v="-1774.5542232584921"/>
    <n v="-96.903256259394766"/>
    <n v="-1871.4574795178869"/>
    <n v="0"/>
    <n v="0"/>
    <n v="0"/>
    <n v="-1871.4574795178869"/>
  </r>
  <r>
    <x v="6"/>
    <d v="2022-08-03T00:00:00"/>
    <d v="2022-08-23T00:00:00"/>
    <x v="12"/>
    <n v="9"/>
    <n v="13"/>
    <n v="1393.5515841383033"/>
    <n v="1266.7977110484107"/>
    <n v="16468.370243629339"/>
    <n v="18116.170593797942"/>
    <n v="-1647.8003501686035"/>
    <n v="-89.981595098009421"/>
    <n v="-1737.7819452666129"/>
    <n v="0"/>
    <n v="0"/>
    <n v="0"/>
    <n v="-1737.7819452666129"/>
  </r>
  <r>
    <x v="7"/>
    <d v="2022-09-05T00:00:00"/>
    <d v="2022-09-23T00:00:00"/>
    <x v="12"/>
    <n v="9"/>
    <n v="13"/>
    <n v="1393.5515841383033"/>
    <n v="1266.7977110484107"/>
    <n v="16468.370243629339"/>
    <n v="18116.170593797942"/>
    <n v="-1647.8003501686035"/>
    <n v="-89.981595098009421"/>
    <n v="-1737.7819452666129"/>
    <n v="0"/>
    <n v="0"/>
    <n v="0"/>
    <n v="-1737.7819452666129"/>
  </r>
  <r>
    <x v="8"/>
    <d v="2022-10-05T00:00:00"/>
    <d v="2022-10-25T00:00:00"/>
    <x v="12"/>
    <n v="9"/>
    <n v="13"/>
    <n v="1393.5515841383033"/>
    <n v="1266.7977110484107"/>
    <n v="16468.370243629339"/>
    <n v="18116.170593797942"/>
    <n v="-1647.8003501686035"/>
    <n v="-89.981595098009421"/>
    <n v="-1737.7819452666129"/>
    <n v="0"/>
    <n v="0"/>
    <n v="0"/>
    <n v="-1737.7819452666129"/>
  </r>
  <r>
    <x v="9"/>
    <d v="2022-11-03T00:00:00"/>
    <d v="2022-11-23T00:00:00"/>
    <x v="12"/>
    <n v="9"/>
    <n v="10"/>
    <n v="1393.5515841383033"/>
    <n v="1266.7977110484107"/>
    <n v="12667.977110484107"/>
    <n v="13935.515841383032"/>
    <n v="-1267.5387308989248"/>
    <n v="-69.216611613853402"/>
    <n v="-1336.7553425127783"/>
    <n v="0"/>
    <n v="0"/>
    <n v="0"/>
    <n v="-1336.7553425127783"/>
  </r>
  <r>
    <x v="10"/>
    <d v="2022-12-05T00:00:00"/>
    <d v="2022-12-23T00:00:00"/>
    <x v="12"/>
    <n v="9"/>
    <n v="9"/>
    <n v="1393.5515841383033"/>
    <n v="1266.7977110484107"/>
    <n v="11401.179399435696"/>
    <n v="12541.96425724473"/>
    <n v="-1140.7848578090343"/>
    <n v="-62.294950452468072"/>
    <n v="-1203.0798082615024"/>
    <n v="0"/>
    <n v="0"/>
    <n v="0"/>
    <n v="-1203.0798082615024"/>
  </r>
  <r>
    <x v="11"/>
    <d v="2023-01-04T00:00:00"/>
    <d v="2023-01-24T00:00:00"/>
    <x v="12"/>
    <n v="9"/>
    <n v="9"/>
    <n v="1393.5515841383033"/>
    <n v="1266.7977110484107"/>
    <n v="11401.179399435696"/>
    <n v="12541.96425724473"/>
    <n v="-1140.7848578090343"/>
    <n v="-62.294950452468072"/>
    <n v="-1203.0798082615024"/>
    <n v="0"/>
    <n v="0"/>
    <n v="0"/>
    <n v="-1203.0798082615024"/>
  </r>
  <r>
    <x v="0"/>
    <d v="2022-02-03T00:00:00"/>
    <d v="2022-02-23T00:00:00"/>
    <x v="13"/>
    <n v="9"/>
    <n v="22"/>
    <n v="1393.5515841383033"/>
    <n v="1266.7977110484107"/>
    <n v="27869.549643065038"/>
    <n v="30658.134851042672"/>
    <n v="-2788.5852079776341"/>
    <n v="-152.27654555047749"/>
    <n v="-2940.8617535281114"/>
    <n v="0"/>
    <n v="0"/>
    <n v="0"/>
    <n v="-2940.8617535281114"/>
  </r>
  <r>
    <x v="1"/>
    <d v="2022-03-03T00:00:00"/>
    <d v="2022-03-22T00:00:00"/>
    <x v="13"/>
    <n v="9"/>
    <n v="22"/>
    <n v="1393.5515841383033"/>
    <n v="1266.7977110484107"/>
    <n v="27869.549643065038"/>
    <n v="30658.134851042672"/>
    <n v="-2788.5852079776341"/>
    <n v="-152.27654555047749"/>
    <n v="-2940.8617535281114"/>
    <n v="0"/>
    <n v="0"/>
    <n v="0"/>
    <n v="-2940.8617535281114"/>
  </r>
  <r>
    <x v="2"/>
    <d v="2022-04-05T00:00:00"/>
    <d v="2022-04-25T00:00:00"/>
    <x v="13"/>
    <n v="9"/>
    <n v="18"/>
    <n v="1393.5515841383033"/>
    <n v="1266.7977110484107"/>
    <n v="22802.358798871392"/>
    <n v="25083.92851448946"/>
    <n v="-2281.5697156180686"/>
    <n v="-124.58990090493614"/>
    <n v="-2406.1596165230048"/>
    <n v="0"/>
    <n v="0"/>
    <n v="0"/>
    <n v="-2406.1596165230048"/>
  </r>
  <r>
    <x v="3"/>
    <d v="2022-05-04T00:00:00"/>
    <d v="2022-05-24T00:00:00"/>
    <x v="13"/>
    <n v="9"/>
    <n v="21"/>
    <n v="1393.5515841383033"/>
    <n v="1266.7977110484107"/>
    <n v="26602.751932016625"/>
    <n v="29264.58326690437"/>
    <n v="-2661.8313348877455"/>
    <n v="-145.35488438909215"/>
    <n v="-2807.1862192768376"/>
    <n v="0"/>
    <n v="0"/>
    <n v="0"/>
    <n v="-2807.1862192768376"/>
  </r>
  <r>
    <x v="4"/>
    <d v="2022-06-03T00:00:00"/>
    <d v="2022-06-23T00:00:00"/>
    <x v="13"/>
    <n v="9"/>
    <n v="31"/>
    <n v="1393.5515841383033"/>
    <n v="1266.7977110484107"/>
    <n v="39270.72904250073"/>
    <n v="43200.099108287402"/>
    <n v="-3929.3700657866721"/>
    <n v="-214.57149600294557"/>
    <n v="-4143.9415617896175"/>
    <n v="0"/>
    <n v="0"/>
    <n v="0"/>
    <n v="-4143.9415617896175"/>
  </r>
  <r>
    <x v="5"/>
    <d v="2022-07-05T00:00:00"/>
    <d v="2022-07-25T00:00:00"/>
    <x v="13"/>
    <n v="9"/>
    <n v="38"/>
    <n v="1393.5515841383033"/>
    <n v="1266.7977110484107"/>
    <n v="48138.31301983961"/>
    <n v="52954.960197255525"/>
    <n v="-4816.6471774159145"/>
    <n v="-263.02312413264298"/>
    <n v="-5079.6703015485573"/>
    <n v="0"/>
    <n v="0"/>
    <n v="0"/>
    <n v="-5079.6703015485573"/>
  </r>
  <r>
    <x v="6"/>
    <d v="2022-08-03T00:00:00"/>
    <d v="2022-08-23T00:00:00"/>
    <x v="13"/>
    <n v="9"/>
    <n v="40"/>
    <n v="1393.5515841383033"/>
    <n v="1266.7977110484107"/>
    <n v="50671.90844193643"/>
    <n v="55742.063365532129"/>
    <n v="-5070.1549235956991"/>
    <n v="-276.86644645541361"/>
    <n v="-5347.0213700511131"/>
    <n v="0"/>
    <n v="0"/>
    <n v="0"/>
    <n v="-5347.0213700511131"/>
  </r>
  <r>
    <x v="7"/>
    <d v="2022-09-05T00:00:00"/>
    <d v="2022-09-23T00:00:00"/>
    <x v="13"/>
    <n v="9"/>
    <n v="38"/>
    <n v="1393.5515841383033"/>
    <n v="1266.7977110484107"/>
    <n v="48138.31301983961"/>
    <n v="52954.960197255525"/>
    <n v="-4816.6471774159145"/>
    <n v="-263.02312413264298"/>
    <n v="-5079.6703015485573"/>
    <n v="0"/>
    <n v="0"/>
    <n v="0"/>
    <n v="-5079.6703015485573"/>
  </r>
  <r>
    <x v="8"/>
    <d v="2022-10-05T00:00:00"/>
    <d v="2022-10-25T00:00:00"/>
    <x v="13"/>
    <n v="9"/>
    <n v="35"/>
    <n v="1393.5515841383033"/>
    <n v="1266.7977110484107"/>
    <n v="44337.919886694377"/>
    <n v="48774.305444840611"/>
    <n v="-4436.385558146234"/>
    <n v="-242.25814064848691"/>
    <n v="-4678.6436987947209"/>
    <n v="0"/>
    <n v="0"/>
    <n v="0"/>
    <n v="-4678.6436987947209"/>
  </r>
  <r>
    <x v="9"/>
    <d v="2022-11-03T00:00:00"/>
    <d v="2022-11-23T00:00:00"/>
    <x v="13"/>
    <n v="9"/>
    <n v="23"/>
    <n v="1393.5515841383033"/>
    <n v="1266.7977110484107"/>
    <n v="29136.347354113448"/>
    <n v="32051.686435180975"/>
    <n v="-2915.3390810675264"/>
    <n v="-159.19820671186284"/>
    <n v="-3074.5372877793893"/>
    <n v="0"/>
    <n v="0"/>
    <n v="0"/>
    <n v="-3074.5372877793893"/>
  </r>
  <r>
    <x v="10"/>
    <d v="2022-12-05T00:00:00"/>
    <d v="2022-12-23T00:00:00"/>
    <x v="13"/>
    <n v="9"/>
    <n v="18"/>
    <n v="1393.5515841383033"/>
    <n v="1266.7977110484107"/>
    <n v="22802.358798871392"/>
    <n v="25083.92851448946"/>
    <n v="-2281.5697156180686"/>
    <n v="-124.58990090493614"/>
    <n v="-2406.1596165230048"/>
    <n v="0"/>
    <n v="0"/>
    <n v="0"/>
    <n v="-2406.1596165230048"/>
  </r>
  <r>
    <x v="11"/>
    <d v="2023-01-04T00:00:00"/>
    <d v="2023-01-24T00:00:00"/>
    <x v="13"/>
    <n v="9"/>
    <n v="27"/>
    <n v="1393.5515841383033"/>
    <n v="1266.7977110484107"/>
    <n v="34203.538198307091"/>
    <n v="37625.892771734187"/>
    <n v="-3422.3545734270956"/>
    <n v="-186.88485135740422"/>
    <n v="-3609.2394247845"/>
    <n v="0"/>
    <n v="0"/>
    <n v="0"/>
    <n v="-3609.2394247845"/>
  </r>
  <r>
    <x v="0"/>
    <d v="2022-02-03T00:00:00"/>
    <d v="2022-02-23T00:00:00"/>
    <x v="14"/>
    <n v="9"/>
    <n v="37"/>
    <n v="1393.5515841383033"/>
    <n v="1266.7977110484107"/>
    <n v="46871.515308791197"/>
    <n v="51561.408613117223"/>
    <n v="-4689.8933043260258"/>
    <n v="-256.1014629712576"/>
    <n v="-4945.994767297283"/>
    <n v="0"/>
    <n v="0"/>
    <n v="0"/>
    <n v="-4945.994767297283"/>
  </r>
  <r>
    <x v="1"/>
    <d v="2022-03-03T00:00:00"/>
    <d v="2022-03-22T00:00:00"/>
    <x v="14"/>
    <n v="9"/>
    <n v="37"/>
    <n v="1393.5515841383033"/>
    <n v="1266.7977110484107"/>
    <n v="46871.515308791197"/>
    <n v="51561.408613117223"/>
    <n v="-4689.8933043260258"/>
    <n v="-256.1014629712576"/>
    <n v="-4945.994767297283"/>
    <n v="0"/>
    <n v="0"/>
    <n v="0"/>
    <n v="-4945.994767297283"/>
  </r>
  <r>
    <x v="2"/>
    <d v="2022-04-05T00:00:00"/>
    <d v="2022-04-25T00:00:00"/>
    <x v="14"/>
    <n v="9"/>
    <n v="25"/>
    <n v="1393.5515841383033"/>
    <n v="1266.7977110484107"/>
    <n v="31669.942776210268"/>
    <n v="34838.789603457582"/>
    <n v="-3168.8468272473146"/>
    <n v="-173.0415290346335"/>
    <n v="-3341.8883562819483"/>
    <n v="0"/>
    <n v="0"/>
    <n v="0"/>
    <n v="-3341.8883562819483"/>
  </r>
  <r>
    <x v="3"/>
    <d v="2022-05-04T00:00:00"/>
    <d v="2022-05-24T00:00:00"/>
    <x v="14"/>
    <n v="9"/>
    <n v="31"/>
    <n v="1393.5515841383033"/>
    <n v="1266.7977110484107"/>
    <n v="39270.72904250073"/>
    <n v="43200.099108287402"/>
    <n v="-3929.3700657866721"/>
    <n v="-214.57149600294557"/>
    <n v="-4143.9415617896175"/>
    <n v="0"/>
    <n v="0"/>
    <n v="0"/>
    <n v="-4143.9415617896175"/>
  </r>
  <r>
    <x v="4"/>
    <d v="2022-06-03T00:00:00"/>
    <d v="2022-06-23T00:00:00"/>
    <x v="14"/>
    <n v="9"/>
    <n v="40"/>
    <n v="1393.5515841383033"/>
    <n v="1266.7977110484107"/>
    <n v="50671.90844193643"/>
    <n v="55742.063365532129"/>
    <n v="-5070.1549235956991"/>
    <n v="-276.86644645541361"/>
    <n v="-5347.0213700511131"/>
    <n v="0"/>
    <n v="0"/>
    <n v="0"/>
    <n v="-5347.0213700511131"/>
  </r>
  <r>
    <x v="5"/>
    <d v="2022-07-05T00:00:00"/>
    <d v="2022-07-25T00:00:00"/>
    <x v="14"/>
    <n v="9"/>
    <n v="48"/>
    <n v="1393.5515841383033"/>
    <n v="1266.7977110484107"/>
    <n v="60806.290130323716"/>
    <n v="66890.476038638561"/>
    <n v="-6084.1859083148447"/>
    <n v="-332.23973574649636"/>
    <n v="-6416.4256440613408"/>
    <n v="0"/>
    <n v="0"/>
    <n v="0"/>
    <n v="-6416.4256440613408"/>
  </r>
  <r>
    <x v="6"/>
    <d v="2022-08-03T00:00:00"/>
    <d v="2022-08-23T00:00:00"/>
    <x v="14"/>
    <n v="9"/>
    <n v="52"/>
    <n v="1393.5515841383033"/>
    <n v="1266.7977110484107"/>
    <n v="65873.480974517355"/>
    <n v="72464.682375191769"/>
    <n v="-6591.2014006744139"/>
    <n v="-359.92638039203769"/>
    <n v="-6951.1277810664515"/>
    <n v="0"/>
    <n v="0"/>
    <n v="0"/>
    <n v="-6951.1277810664515"/>
  </r>
  <r>
    <x v="7"/>
    <d v="2022-09-05T00:00:00"/>
    <d v="2022-09-23T00:00:00"/>
    <x v="14"/>
    <n v="9"/>
    <n v="50"/>
    <n v="1393.5515841383033"/>
    <n v="1266.7977110484107"/>
    <n v="63339.885552420536"/>
    <n v="69677.579206915165"/>
    <n v="-6337.6936544946293"/>
    <n v="-346.083058069267"/>
    <n v="-6683.7767125638966"/>
    <n v="0"/>
    <n v="0"/>
    <n v="0"/>
    <n v="-6683.7767125638966"/>
  </r>
  <r>
    <x v="8"/>
    <d v="2022-10-05T00:00:00"/>
    <d v="2022-10-25T00:00:00"/>
    <x v="14"/>
    <n v="9"/>
    <n v="47"/>
    <n v="1393.5515841383033"/>
    <n v="1266.7977110484107"/>
    <n v="59539.492419275302"/>
    <n v="65496.924454500251"/>
    <n v="-5957.4320352249488"/>
    <n v="-325.31807458511105"/>
    <n v="-6282.7501098100602"/>
    <n v="0"/>
    <n v="0"/>
    <n v="0"/>
    <n v="-6282.7501098100602"/>
  </r>
  <r>
    <x v="9"/>
    <d v="2022-11-03T00:00:00"/>
    <d v="2022-11-23T00:00:00"/>
    <x v="14"/>
    <n v="9"/>
    <n v="35"/>
    <n v="1393.5515841383033"/>
    <n v="1266.7977110484107"/>
    <n v="44337.919886694377"/>
    <n v="48774.305444840611"/>
    <n v="-4436.385558146234"/>
    <n v="-242.25814064848691"/>
    <n v="-4678.6436987947209"/>
    <n v="0"/>
    <n v="0"/>
    <n v="0"/>
    <n v="-4678.6436987947209"/>
  </r>
  <r>
    <x v="10"/>
    <d v="2022-12-05T00:00:00"/>
    <d v="2022-12-23T00:00:00"/>
    <x v="14"/>
    <n v="9"/>
    <n v="34"/>
    <n v="1393.5515841383033"/>
    <n v="1266.7977110484107"/>
    <n v="43071.122175645964"/>
    <n v="47380.753860702309"/>
    <n v="-4309.6316850563453"/>
    <n v="-235.3364794871016"/>
    <n v="-4544.9681645434466"/>
    <n v="0"/>
    <n v="0"/>
    <n v="0"/>
    <n v="-4544.9681645434466"/>
  </r>
  <r>
    <x v="11"/>
    <d v="2023-01-04T00:00:00"/>
    <d v="2023-01-24T00:00:00"/>
    <x v="14"/>
    <n v="9"/>
    <n v="34"/>
    <n v="1393.5515841383033"/>
    <n v="1266.7977110484107"/>
    <n v="43071.122175645964"/>
    <n v="47380.753860702309"/>
    <n v="-4309.6316850563453"/>
    <n v="-235.3364794871016"/>
    <n v="-4544.9681645434466"/>
    <n v="0"/>
    <n v="0"/>
    <n v="0"/>
    <n v="-4544.9681645434466"/>
  </r>
  <r>
    <x v="0"/>
    <d v="2022-02-03T00:00:00"/>
    <d v="2022-02-23T00:00:00"/>
    <x v="15"/>
    <n v="9"/>
    <n v="106"/>
    <n v="1393.5515841383033"/>
    <n v="1266.7977110484107"/>
    <n v="134280.55737113155"/>
    <n v="147716.46791866014"/>
    <n v="-13435.910547528591"/>
    <n v="-733.69608310684612"/>
    <n v="-14169.606630635437"/>
    <n v="0"/>
    <n v="0"/>
    <n v="0"/>
    <n v="-14169.606630635437"/>
  </r>
  <r>
    <x v="1"/>
    <d v="2022-03-03T00:00:00"/>
    <d v="2022-03-22T00:00:00"/>
    <x v="15"/>
    <n v="9"/>
    <n v="101"/>
    <n v="1393.5515841383033"/>
    <n v="1266.7977110484107"/>
    <n v="127946.56881588949"/>
    <n v="140748.70999796863"/>
    <n v="-12802.14118207914"/>
    <n v="-699.08777729991937"/>
    <n v="-13501.228959379059"/>
    <n v="0"/>
    <n v="0"/>
    <n v="0"/>
    <n v="-13501.228959379059"/>
  </r>
  <r>
    <x v="2"/>
    <d v="2022-04-05T00:00:00"/>
    <d v="2022-04-25T00:00:00"/>
    <x v="15"/>
    <n v="9"/>
    <n v="97"/>
    <n v="1393.5515841383033"/>
    <n v="1266.7977110484107"/>
    <n v="122879.37797169584"/>
    <n v="135174.50366141542"/>
    <n v="-12295.125689719585"/>
    <n v="-671.4011326543781"/>
    <n v="-12966.526822373964"/>
    <n v="0"/>
    <n v="0"/>
    <n v="0"/>
    <n v="-12966.526822373964"/>
  </r>
  <r>
    <x v="3"/>
    <d v="2022-05-04T00:00:00"/>
    <d v="2022-05-24T00:00:00"/>
    <x v="15"/>
    <n v="9"/>
    <n v="98"/>
    <n v="1393.5515841383033"/>
    <n v="1266.7977110484107"/>
    <n v="124146.17568274426"/>
    <n v="136568.05524555373"/>
    <n v="-12421.879562809467"/>
    <n v="-678.32279381576336"/>
    <n v="-13100.20235662523"/>
    <n v="0"/>
    <n v="0"/>
    <n v="0"/>
    <n v="-13100.20235662523"/>
  </r>
  <r>
    <x v="4"/>
    <d v="2022-06-03T00:00:00"/>
    <d v="2022-06-23T00:00:00"/>
    <x v="15"/>
    <n v="9"/>
    <n v="104"/>
    <n v="1393.5515841383033"/>
    <n v="1266.7977110484107"/>
    <n v="131746.96194903471"/>
    <n v="144929.36475038354"/>
    <n v="-13182.402801348828"/>
    <n v="-719.85276078407537"/>
    <n v="-13902.255562132903"/>
    <n v="0"/>
    <n v="0"/>
    <n v="0"/>
    <n v="-13902.255562132903"/>
  </r>
  <r>
    <x v="5"/>
    <d v="2022-07-05T00:00:00"/>
    <d v="2022-07-25T00:00:00"/>
    <x v="15"/>
    <n v="9"/>
    <n v="115"/>
    <n v="1393.5515841383033"/>
    <n v="1266.7977110484107"/>
    <n v="145681.73677056722"/>
    <n v="160258.43217590486"/>
    <n v="-14576.695405337639"/>
    <n v="-795.99103355931425"/>
    <n v="-15372.686438896953"/>
    <n v="0"/>
    <n v="0"/>
    <n v="0"/>
    <n v="-15372.686438896953"/>
  </r>
  <r>
    <x v="6"/>
    <d v="2022-08-03T00:00:00"/>
    <d v="2022-08-23T00:00:00"/>
    <x v="15"/>
    <n v="9"/>
    <n v="42"/>
    <n v="1393.5515841383033"/>
    <n v="1266.7977110484107"/>
    <n v="53205.50386403325"/>
    <n v="58529.16653380874"/>
    <n v="-5323.6626697754909"/>
    <n v="-290.7097687781843"/>
    <n v="-5614.3724385536752"/>
    <n v="0"/>
    <n v="0"/>
    <n v="0"/>
    <n v="-5614.3724385536752"/>
  </r>
  <r>
    <x v="7"/>
    <d v="2022-09-05T00:00:00"/>
    <d v="2022-09-23T00:00:00"/>
    <x v="15"/>
    <n v="9"/>
    <n v="41"/>
    <n v="1393.5515841383033"/>
    <n v="1266.7977110484107"/>
    <n v="51938.706152984843"/>
    <n v="57135.614949670431"/>
    <n v="-5196.9087966855877"/>
    <n v="-283.78810761679892"/>
    <n v="-5480.6969043023864"/>
    <n v="0"/>
    <n v="0"/>
    <n v="0"/>
    <n v="-5480.6969043023864"/>
  </r>
  <r>
    <x v="8"/>
    <d v="2022-10-05T00:00:00"/>
    <d v="2022-10-25T00:00:00"/>
    <x v="15"/>
    <n v="9"/>
    <n v="115"/>
    <n v="1393.5515841383033"/>
    <n v="1266.7977110484107"/>
    <n v="145681.73677056722"/>
    <n v="160258.43217590486"/>
    <n v="-14576.695405337639"/>
    <n v="-795.99103355931425"/>
    <n v="-15372.686438896953"/>
    <n v="0"/>
    <n v="0"/>
    <n v="0"/>
    <n v="-15372.686438896953"/>
  </r>
  <r>
    <x v="9"/>
    <d v="2022-11-03T00:00:00"/>
    <d v="2022-11-23T00:00:00"/>
    <x v="15"/>
    <n v="9"/>
    <n v="105"/>
    <n v="1393.5515841383033"/>
    <n v="1266.7977110484107"/>
    <n v="133013.75966008313"/>
    <n v="146322.91633452184"/>
    <n v="-13309.156674438709"/>
    <n v="-726.77442194546086"/>
    <n v="-14035.931096384171"/>
    <n v="0"/>
    <n v="0"/>
    <n v="0"/>
    <n v="-14035.931096384171"/>
  </r>
  <r>
    <x v="10"/>
    <d v="2022-12-05T00:00:00"/>
    <d v="2022-12-23T00:00:00"/>
    <x v="15"/>
    <n v="9"/>
    <n v="104"/>
    <n v="1393.5515841383033"/>
    <n v="1266.7977110484107"/>
    <n v="131746.96194903471"/>
    <n v="144929.36475038354"/>
    <n v="-13182.402801348828"/>
    <n v="-719.85276078407537"/>
    <n v="-13902.255562132903"/>
    <n v="0"/>
    <n v="0"/>
    <n v="0"/>
    <n v="-13902.255562132903"/>
  </r>
  <r>
    <x v="11"/>
    <d v="2023-01-04T00:00:00"/>
    <d v="2023-01-24T00:00:00"/>
    <x v="15"/>
    <n v="9"/>
    <n v="104"/>
    <n v="1393.5515841383033"/>
    <n v="1266.7977110484107"/>
    <n v="131746.96194903471"/>
    <n v="144929.36475038354"/>
    <n v="-13182.402801348828"/>
    <n v="-719.85276078407537"/>
    <n v="-13902.255562132903"/>
    <n v="0"/>
    <n v="0"/>
    <n v="0"/>
    <n v="-13902.2555621329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57">
        <item m="1" x="57"/>
        <item m="1" x="81"/>
        <item m="1" x="105"/>
        <item m="1" x="129"/>
        <item m="1" x="153"/>
        <item m="1" x="33"/>
        <item m="1" x="68"/>
        <item m="1" x="92"/>
        <item m="1" x="116"/>
        <item m="1" x="140"/>
        <item m="1" x="20"/>
        <item m="1" x="44"/>
        <item m="1" x="58"/>
        <item m="1" x="82"/>
        <item m="1" x="106"/>
        <item m="1" x="130"/>
        <item m="1" x="154"/>
        <item m="1" x="34"/>
        <item m="1" x="70"/>
        <item m="1" x="94"/>
        <item m="1" x="118"/>
        <item m="1" x="142"/>
        <item m="1" x="22"/>
        <item m="1" x="46"/>
        <item m="1" x="59"/>
        <item m="1" x="83"/>
        <item m="1" x="107"/>
        <item m="1" x="131"/>
        <item m="1" x="155"/>
        <item m="1" x="35"/>
        <item m="1" x="71"/>
        <item m="1" x="95"/>
        <item m="1" x="119"/>
        <item m="1" x="143"/>
        <item m="1" x="23"/>
        <item m="1" x="47"/>
        <item m="1" x="60"/>
        <item m="1" x="84"/>
        <item m="1" x="108"/>
        <item m="1" x="132"/>
        <item m="1" x="12"/>
        <item m="1" x="36"/>
        <item m="1" x="72"/>
        <item m="1" x="96"/>
        <item m="1" x="120"/>
        <item m="1" x="144"/>
        <item m="1" x="24"/>
        <item m="1" x="48"/>
        <item m="1" x="61"/>
        <item m="1" x="85"/>
        <item m="1" x="109"/>
        <item m="1" x="133"/>
        <item m="1" x="13"/>
        <item m="1" x="37"/>
        <item m="1" x="73"/>
        <item m="1" x="97"/>
        <item m="1" x="121"/>
        <item m="1" x="145"/>
        <item m="1" x="25"/>
        <item m="1" x="49"/>
        <item m="1" x="62"/>
        <item m="1" x="86"/>
        <item m="1" x="110"/>
        <item m="1" x="134"/>
        <item m="1" x="14"/>
        <item m="1" x="38"/>
        <item m="1" x="74"/>
        <item m="1" x="98"/>
        <item m="1" x="122"/>
        <item m="1" x="146"/>
        <item m="1" x="26"/>
        <item m="1" x="50"/>
        <item m="1" x="63"/>
        <item m="1" x="87"/>
        <item m="1" x="111"/>
        <item m="1" x="135"/>
        <item m="1" x="15"/>
        <item m="1" x="39"/>
        <item m="1" x="75"/>
        <item m="1" x="99"/>
        <item m="1" x="123"/>
        <item m="1" x="147"/>
        <item m="1" x="27"/>
        <item m="1" x="51"/>
        <item m="1" x="64"/>
        <item m="1" x="88"/>
        <item m="1" x="112"/>
        <item m="1" x="136"/>
        <item m="1" x="16"/>
        <item m="1" x="40"/>
        <item m="1" x="76"/>
        <item m="1" x="100"/>
        <item m="1" x="124"/>
        <item m="1" x="148"/>
        <item m="1" x="28"/>
        <item m="1" x="52"/>
        <item m="1" x="65"/>
        <item m="1" x="89"/>
        <item m="1" x="113"/>
        <item m="1" x="137"/>
        <item m="1" x="17"/>
        <item m="1" x="41"/>
        <item m="1" x="77"/>
        <item m="1" x="101"/>
        <item m="1" x="125"/>
        <item m="1" x="149"/>
        <item m="1" x="29"/>
        <item m="1" x="53"/>
        <item m="1" x="66"/>
        <item m="1" x="90"/>
        <item m="1" x="114"/>
        <item m="1" x="138"/>
        <item m="1" x="18"/>
        <item m="1" x="42"/>
        <item m="1" x="78"/>
        <item m="1" x="102"/>
        <item m="1" x="126"/>
        <item m="1" x="150"/>
        <item m="1" x="30"/>
        <item m="1" x="54"/>
        <item m="1" x="67"/>
        <item m="1" x="91"/>
        <item m="1" x="115"/>
        <item m="1" x="139"/>
        <item m="1" x="19"/>
        <item m="1" x="43"/>
        <item m="1" x="79"/>
        <item m="1" x="103"/>
        <item m="1" x="127"/>
        <item m="1" x="151"/>
        <item m="1" x="31"/>
        <item m="1" x="55"/>
        <item m="1" x="69"/>
        <item m="1" x="93"/>
        <item m="1" x="117"/>
        <item m="1" x="141"/>
        <item m="1" x="21"/>
        <item m="1" x="45"/>
        <item m="1" x="80"/>
        <item m="1" x="104"/>
        <item m="1" x="128"/>
        <item m="1" x="152"/>
        <item m="1" x="32"/>
        <item m="1" x="5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>
      <selection activeCell="C23" sqref="C23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65</v>
      </c>
    </row>
    <row r="3" spans="1:2" x14ac:dyDescent="0.2">
      <c r="A3" s="2">
        <v>1</v>
      </c>
      <c r="B3" s="3" t="s">
        <v>67</v>
      </c>
    </row>
    <row r="4" spans="1:2" x14ac:dyDescent="0.2">
      <c r="A4" s="2">
        <v>2</v>
      </c>
      <c r="B4" s="3" t="s">
        <v>66</v>
      </c>
    </row>
    <row r="5" spans="1:2" x14ac:dyDescent="0.2">
      <c r="A5" s="2">
        <v>3</v>
      </c>
      <c r="B5" s="3" t="s">
        <v>68</v>
      </c>
    </row>
    <row r="6" spans="1:2" x14ac:dyDescent="0.2">
      <c r="A6" s="2">
        <v>4</v>
      </c>
      <c r="B6" s="4" t="s">
        <v>82</v>
      </c>
    </row>
    <row r="7" spans="1:2" x14ac:dyDescent="0.2">
      <c r="A7" s="2">
        <v>5</v>
      </c>
      <c r="B7" s="3" t="s">
        <v>69</v>
      </c>
    </row>
    <row r="8" spans="1:2" x14ac:dyDescent="0.2">
      <c r="A8" s="2">
        <v>6</v>
      </c>
      <c r="B8" s="3" t="s">
        <v>70</v>
      </c>
    </row>
    <row r="9" spans="1:2" x14ac:dyDescent="0.2">
      <c r="A9" s="2">
        <v>7</v>
      </c>
      <c r="B9" s="5" t="s">
        <v>71</v>
      </c>
    </row>
    <row r="10" spans="1:2" x14ac:dyDescent="0.2">
      <c r="A10" s="2">
        <v>8</v>
      </c>
      <c r="B10" s="3" t="s">
        <v>74</v>
      </c>
    </row>
    <row r="11" spans="1:2" x14ac:dyDescent="0.2">
      <c r="A11" s="2"/>
      <c r="B11" s="3" t="s">
        <v>75</v>
      </c>
    </row>
    <row r="12" spans="1:2" x14ac:dyDescent="0.2">
      <c r="A12" s="2"/>
      <c r="B12" s="5" t="s">
        <v>76</v>
      </c>
    </row>
    <row r="13" spans="1:2" x14ac:dyDescent="0.2">
      <c r="A13" s="2"/>
      <c r="B13" s="5" t="s">
        <v>77</v>
      </c>
    </row>
    <row r="14" spans="1:2" x14ac:dyDescent="0.2">
      <c r="A14" s="2">
        <v>9</v>
      </c>
      <c r="B14" s="3" t="s">
        <v>78</v>
      </c>
    </row>
    <row r="15" spans="1:2" x14ac:dyDescent="0.2">
      <c r="A15" s="2">
        <v>10</v>
      </c>
      <c r="B15" s="3" t="s">
        <v>80</v>
      </c>
    </row>
    <row r="16" spans="1:2" x14ac:dyDescent="0.2">
      <c r="A16" s="2">
        <v>11</v>
      </c>
      <c r="B16" s="3" t="s">
        <v>81</v>
      </c>
    </row>
    <row r="17" spans="1:1" x14ac:dyDescent="0.2">
      <c r="A17" s="2"/>
    </row>
  </sheetData>
  <phoneticPr fontId="6" type="noConversion"/>
  <pageMargins left="0.75" right="0.75" top="1" bottom="1" header="0.5" footer="0.5"/>
  <pageSetup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5"/>
  <sheetViews>
    <sheetView zoomScale="85" zoomScaleNormal="85" zoomScaleSheetLayoutView="100" workbookViewId="0">
      <selection activeCell="S11" sqref="S11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5" t="str">
        <f>+Transactions!B1</f>
        <v>AEPTCo Formula Rate -- FERC Docket ER18-194</v>
      </c>
      <c r="D1" s="255"/>
      <c r="E1" s="255"/>
      <c r="F1" s="255"/>
      <c r="G1" s="255"/>
      <c r="H1" s="255"/>
      <c r="I1" s="255"/>
      <c r="L1" s="6">
        <v>2023</v>
      </c>
    </row>
    <row r="2" spans="2:19" x14ac:dyDescent="0.2">
      <c r="C2" s="255" t="s">
        <v>36</v>
      </c>
      <c r="D2" s="255"/>
      <c r="E2" s="255"/>
      <c r="F2" s="255"/>
      <c r="G2" s="255"/>
      <c r="H2" s="255"/>
      <c r="I2" s="255"/>
    </row>
    <row r="3" spans="2:19" x14ac:dyDescent="0.2">
      <c r="C3" s="255" t="str">
        <f>"for period 01/01/"&amp;F8&amp;" - 12/31/"&amp;F8</f>
        <v>for period 01/01/2022 - 12/31/2022</v>
      </c>
      <c r="D3" s="255"/>
      <c r="E3" s="255"/>
      <c r="F3" s="255"/>
      <c r="G3" s="255"/>
      <c r="H3" s="255"/>
      <c r="I3" s="255"/>
    </row>
    <row r="4" spans="2:19" x14ac:dyDescent="0.2">
      <c r="C4" s="255" t="s">
        <v>85</v>
      </c>
      <c r="D4" s="255"/>
      <c r="E4" s="255"/>
      <c r="F4" s="255"/>
      <c r="G4" s="255"/>
      <c r="H4" s="255"/>
      <c r="I4" s="255"/>
    </row>
    <row r="5" spans="2:19" x14ac:dyDescent="0.2">
      <c r="C5" s="7" t="str">
        <f>"Prepared:  May 24_, "&amp;L1&amp;""</f>
        <v>Prepared:  May 24_, 2023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v>2022</v>
      </c>
    </row>
    <row r="9" spans="2:19" ht="20.25" customHeight="1" x14ac:dyDescent="0.2">
      <c r="E9" s="12" t="s">
        <v>97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2022 Projections 2022)</v>
      </c>
      <c r="F10" s="18" t="str">
        <f>"(per "&amp;F8+1&amp;" Update of May "&amp;F8+1&amp;")"</f>
        <v>(per 2023 Update of May 2023)</v>
      </c>
      <c r="G10" s="19"/>
      <c r="H10" s="20"/>
    </row>
    <row r="11" spans="2:19" ht="21.75" customHeight="1" x14ac:dyDescent="0.2">
      <c r="B11" s="21"/>
      <c r="C11" s="22" t="s">
        <v>39</v>
      </c>
      <c r="D11" s="23" t="s">
        <v>37</v>
      </c>
      <c r="E11" s="24">
        <f>Transactions!K2</f>
        <v>136344248.6912708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43</v>
      </c>
      <c r="E12" s="30"/>
      <c r="F12" s="31">
        <f>+Transactions!J2</f>
        <v>132600783.60628136</v>
      </c>
      <c r="G12" s="32"/>
      <c r="H12" s="33"/>
      <c r="K12" s="34"/>
    </row>
    <row r="13" spans="2:19" ht="21.75" customHeight="1" x14ac:dyDescent="0.2">
      <c r="B13" s="35"/>
      <c r="C13" s="36" t="s">
        <v>40</v>
      </c>
      <c r="D13" s="37" t="s">
        <v>38</v>
      </c>
      <c r="E13" s="38">
        <f>Transactions!K3</f>
        <v>1393.5515841383033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42</v>
      </c>
      <c r="E14" s="44"/>
      <c r="F14" s="45">
        <f>+Transactions!J3</f>
        <v>1266.7977110484107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96</v>
      </c>
      <c r="I19" s="56" t="s">
        <v>95</v>
      </c>
      <c r="J19" s="57" t="s">
        <v>98</v>
      </c>
      <c r="K19" s="58" t="s">
        <v>99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52</v>
      </c>
      <c r="D20" s="60" t="str">
        <f>"Actual Charge
("&amp;F8&amp;" True-Up)"</f>
        <v>Actual Charge
(2022 True-Up)</v>
      </c>
      <c r="E20" s="61" t="str">
        <f>"Invoiced for
CY"&amp;F8&amp;" Transmission Service"</f>
        <v>Invoiced for
CY2022 Transmission Service</v>
      </c>
      <c r="F20" s="60" t="s">
        <v>41</v>
      </c>
      <c r="G20" s="62" t="s">
        <v>7</v>
      </c>
      <c r="H20" s="62" t="s">
        <v>90</v>
      </c>
      <c r="I20" s="63" t="s">
        <v>46</v>
      </c>
      <c r="J20" s="64" t="s">
        <v>100</v>
      </c>
      <c r="K20" s="65" t="s">
        <v>102</v>
      </c>
      <c r="N20" s="52"/>
      <c r="O20" s="53"/>
      <c r="P20" s="53"/>
      <c r="Q20" s="53"/>
      <c r="R20" s="53"/>
      <c r="S20" s="53"/>
    </row>
    <row r="21" spans="2:19" x14ac:dyDescent="0.2">
      <c r="B21" s="66"/>
      <c r="C21" s="67" t="s">
        <v>14</v>
      </c>
      <c r="D21" s="68">
        <f>GETPIVOTDATA("Sum of "&amp;T(Transactions!$J$19),Pivot!$A$3,"Customer",C21)</f>
        <v>12572967.282155478</v>
      </c>
      <c r="E21" s="68">
        <f>GETPIVOTDATA("Sum of "&amp;T(Transactions!$K$19),Pivot!$A$3,"Customer",C21)</f>
        <v>13830999.47257266</v>
      </c>
      <c r="F21" s="68">
        <f>D21-E21</f>
        <v>-1258032.1904171817</v>
      </c>
      <c r="G21" s="53">
        <f>+GETPIVOTDATA("Sum of "&amp;T(Transactions!$M$19),Pivot!$A$3,"Customer","AECC")</f>
        <v>-68697.487026749499</v>
      </c>
      <c r="H21" s="53">
        <f>GETPIVOTDATA("Sum of "&amp;T(Transactions!$Q$19),Pivot!$A$3,"Customer","AECC")</f>
        <v>0</v>
      </c>
      <c r="I21" s="69">
        <f>F21+G21-H21</f>
        <v>-1326729.6774439311</v>
      </c>
      <c r="J21" s="70"/>
      <c r="K21" s="71">
        <f>I21+J21</f>
        <v>-1326729.6774439311</v>
      </c>
      <c r="L21" s="66"/>
      <c r="N21" s="52"/>
      <c r="O21" s="53"/>
      <c r="P21" s="53"/>
      <c r="Q21" s="53"/>
      <c r="R21" s="53"/>
      <c r="S21" s="53"/>
    </row>
    <row r="22" spans="2:19" x14ac:dyDescent="0.2">
      <c r="B22" s="66"/>
      <c r="C22" s="72" t="s">
        <v>87</v>
      </c>
      <c r="D22" s="68">
        <f>GETPIVOTDATA("Sum of "&amp;T(Transactions!$J$19),Pivot!$A$3,"Customer",C22)</f>
        <v>690404.75252138381</v>
      </c>
      <c r="E22" s="68">
        <f>GETPIVOTDATA("Sum of "&amp;T(Transactions!$K$19),Pivot!$A$3,"Customer",C22)</f>
        <v>759485.61335537524</v>
      </c>
      <c r="F22" s="68">
        <f>D22-E22</f>
        <v>-69080.860833991435</v>
      </c>
      <c r="G22" s="53">
        <f>+GETPIVOTDATA("Sum of "&amp;T(Transactions!$M$19),Pivot!$A$3,"Customer","AECI")</f>
        <v>-3772.3053329550103</v>
      </c>
      <c r="H22" s="53">
        <f>GETPIVOTDATA("Sum of "&amp;T(Transactions!$Q$19),Pivot!$A$3,"Customer",C22)</f>
        <v>0</v>
      </c>
      <c r="I22" s="69">
        <f t="shared" ref="I22:I33" si="0">F22+G22-H22</f>
        <v>-72853.166166946452</v>
      </c>
      <c r="J22" s="70"/>
      <c r="K22" s="71">
        <f t="shared" ref="K22:K39" si="1">I22+J22</f>
        <v>-72853.166166946452</v>
      </c>
      <c r="L22" s="66"/>
      <c r="N22" s="52"/>
      <c r="O22" s="53"/>
      <c r="P22" s="53"/>
      <c r="Q22" s="53"/>
      <c r="R22" s="53"/>
      <c r="S22" s="53"/>
    </row>
    <row r="23" spans="2:19" x14ac:dyDescent="0.2">
      <c r="B23" s="66"/>
      <c r="C23" s="72" t="s">
        <v>56</v>
      </c>
      <c r="D23" s="68">
        <f>GETPIVOTDATA("Sum of "&amp;T(Transactions!$J$19),Pivot!$A$3,"Customer",C23)</f>
        <v>1957202.4635697945</v>
      </c>
      <c r="E23" s="68">
        <f>GETPIVOTDATA("Sum of "&amp;T(Transactions!$K$19),Pivot!$A$3,"Customer",C23)</f>
        <v>2153037.1974936784</v>
      </c>
      <c r="F23" s="68">
        <f t="shared" ref="F23:F35" si="2">D23-E23</f>
        <v>-195834.73392388388</v>
      </c>
      <c r="G23" s="53">
        <f>+GETPIVOTDATA("Sum of "&amp;T(Transactions!$M$19),Pivot!$A$3,"Customer","Bentonville, AR")</f>
        <v>-10693.966494340353</v>
      </c>
      <c r="H23" s="53">
        <f>GETPIVOTDATA("Sum of "&amp;T(Transactions!$Q$19),Pivot!$A$3,"Customer",C23)</f>
        <v>0</v>
      </c>
      <c r="I23" s="69">
        <f t="shared" si="0"/>
        <v>-206528.70041822424</v>
      </c>
      <c r="J23" s="70"/>
      <c r="K23" s="71">
        <f t="shared" si="1"/>
        <v>-206528.70041822424</v>
      </c>
      <c r="L23" s="66"/>
      <c r="N23" s="52"/>
      <c r="O23" s="53"/>
      <c r="P23" s="53"/>
      <c r="Q23" s="53"/>
      <c r="R23" s="53"/>
      <c r="S23" s="53"/>
    </row>
    <row r="24" spans="2:19" x14ac:dyDescent="0.2">
      <c r="B24" s="66"/>
      <c r="C24" s="67" t="s">
        <v>17</v>
      </c>
      <c r="D24" s="68">
        <f>GETPIVOTDATA("Sum of "&amp;T(Transactions!$J$19),Pivot!$A$3,"Customer",C24)</f>
        <v>1434015.0089068008</v>
      </c>
      <c r="E24" s="68">
        <f>GETPIVOTDATA("Sum of "&amp;T(Transactions!$K$19),Pivot!$A$3,"Customer",C24)</f>
        <v>1577500.3932445589</v>
      </c>
      <c r="F24" s="68">
        <f t="shared" si="2"/>
        <v>-143485.38433775818</v>
      </c>
      <c r="G24" s="53">
        <f>+GETPIVOTDATA("Sum of "&amp;T(Transactions!$M$19),Pivot!$A$3,"Customer","Coffeyville, KS")</f>
        <v>-7835.3204346882048</v>
      </c>
      <c r="H24" s="53">
        <f>GETPIVOTDATA("Sum of "&amp;T(Transactions!$Q$19),Pivot!$A$3,"Customer",C24)</f>
        <v>0</v>
      </c>
      <c r="I24" s="69">
        <f t="shared" si="0"/>
        <v>-151320.70477244639</v>
      </c>
      <c r="J24" s="70"/>
      <c r="K24" s="71">
        <f t="shared" si="1"/>
        <v>-151320.70477244639</v>
      </c>
      <c r="L24" s="66"/>
      <c r="N24" s="52"/>
      <c r="O24" s="53"/>
      <c r="P24" s="53"/>
      <c r="Q24" s="53"/>
      <c r="R24" s="53"/>
      <c r="S24" s="53"/>
    </row>
    <row r="25" spans="2:19" x14ac:dyDescent="0.2">
      <c r="B25" s="66"/>
      <c r="C25" s="72" t="s">
        <v>13</v>
      </c>
      <c r="D25" s="68">
        <f>GETPIVOTDATA("Sum of "&amp;T(Transactions!$J$19),Pivot!$A$3,"Customer",C25)</f>
        <v>13965177.96659768</v>
      </c>
      <c r="E25" s="68">
        <f>GETPIVOTDATA("Sum of "&amp;T(Transactions!$K$19),Pivot!$A$3,"Customer",C25)</f>
        <v>15362512.663540658</v>
      </c>
      <c r="F25" s="68">
        <f t="shared" si="2"/>
        <v>-1397334.6969429776</v>
      </c>
      <c r="G25" s="53">
        <f>+GETPIVOTDATA("Sum of "&amp;T(Transactions!$M$19),Pivot!$A$3,"Customer","ETEC")</f>
        <v>-76304.392643111991</v>
      </c>
      <c r="H25" s="53">
        <f>GETPIVOTDATA("Sum of "&amp;T(Transactions!$Q$19),Pivot!$A$3,"Customer",C25)</f>
        <v>0</v>
      </c>
      <c r="I25" s="69">
        <f t="shared" si="0"/>
        <v>-1473639.0895860896</v>
      </c>
      <c r="J25" s="70"/>
      <c r="K25" s="71">
        <f t="shared" si="1"/>
        <v>-1473639.0895860896</v>
      </c>
      <c r="L25" s="66"/>
      <c r="N25" s="54"/>
      <c r="O25" s="53"/>
      <c r="P25" s="53"/>
      <c r="Q25" s="53"/>
      <c r="R25" s="53"/>
      <c r="S25" s="53"/>
    </row>
    <row r="26" spans="2:19" x14ac:dyDescent="0.2">
      <c r="B26" s="66"/>
      <c r="C26" s="67" t="s">
        <v>15</v>
      </c>
      <c r="D26" s="68">
        <f>GETPIVOTDATA("Sum of "&amp;T(Transactions!$J$19),Pivot!$A$3,"Customer",C26)</f>
        <v>144414.9390595188</v>
      </c>
      <c r="E26" s="68">
        <f>GETPIVOTDATA("Sum of "&amp;T(Transactions!$K$19),Pivot!$A$3,"Customer",C26)</f>
        <v>158864.88059176656</v>
      </c>
      <c r="F26" s="68">
        <f t="shared" si="2"/>
        <v>-14449.941532247758</v>
      </c>
      <c r="G26" s="53">
        <f>+GETPIVOTDATA("Sum of "&amp;T(Transactions!$M$19),Pivot!$A$3,"Customer","Greenbelt")</f>
        <v>-789.06937239792887</v>
      </c>
      <c r="H26" s="53">
        <f>GETPIVOTDATA("Sum of "&amp;T(Transactions!$Q$19),Pivot!$A$3,"Customer",C26)</f>
        <v>0</v>
      </c>
      <c r="I26" s="69">
        <f t="shared" si="0"/>
        <v>-15239.010904645687</v>
      </c>
      <c r="J26" s="70"/>
      <c r="K26" s="71">
        <f t="shared" si="1"/>
        <v>-15239.010904645687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">
      <c r="B27" s="66"/>
      <c r="C27" s="67" t="s">
        <v>59</v>
      </c>
      <c r="D27" s="68">
        <f>GETPIVOTDATA("Sum of "&amp;T(Transactions!$J$19),Pivot!$A$3,"Customer",C27)</f>
        <v>595394.92419275304</v>
      </c>
      <c r="E27" s="68">
        <f>GETPIVOTDATA("Sum of "&amp;T(Transactions!$K$19),Pivot!$A$3,"Customer",C27)</f>
        <v>654969.24454500247</v>
      </c>
      <c r="F27" s="68">
        <f t="shared" si="2"/>
        <v>-59574.32035224943</v>
      </c>
      <c r="G27" s="53">
        <f>+GETPIVOTDATA("Sum of "&amp;T(Transactions!$M$19),Pivot!$A$3,"Customer","Hope, AR")</f>
        <v>-3253.1807458511103</v>
      </c>
      <c r="H27" s="53">
        <f>GETPIVOTDATA("Sum of "&amp;T(Transactions!$Q$19),Pivot!$A$3,"Customer",C27)</f>
        <v>0</v>
      </c>
      <c r="I27" s="69">
        <f t="shared" si="0"/>
        <v>-62827.50109810054</v>
      </c>
      <c r="J27" s="70"/>
      <c r="K27" s="71">
        <f t="shared" si="1"/>
        <v>-62827.50109810054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">
      <c r="B28" s="66"/>
      <c r="C28" s="67" t="s">
        <v>16</v>
      </c>
      <c r="D28" s="68">
        <f>GETPIVOTDATA("Sum of "&amp;T(Transactions!$J$19),Pivot!$A$3,"Customer",C28)</f>
        <v>50671.908441936437</v>
      </c>
      <c r="E28" s="68">
        <f>GETPIVOTDATA("Sum of "&amp;T(Transactions!$K$19),Pivot!$A$3,"Customer",C28)</f>
        <v>55742.063365532136</v>
      </c>
      <c r="F28" s="68">
        <f t="shared" si="2"/>
        <v>-5070.1549235956991</v>
      </c>
      <c r="G28" s="53">
        <f>+GETPIVOTDATA("Sum of "&amp;T(Transactions!$M$19),Pivot!$A$3,"Customer","Lighthouse")</f>
        <v>-276.86644645541367</v>
      </c>
      <c r="H28" s="53">
        <f>GETPIVOTDATA("Sum of "&amp;T(Transactions!$Q$19),Pivot!$A$3,"Customer",C28)</f>
        <v>0</v>
      </c>
      <c r="I28" s="69">
        <f t="shared" si="0"/>
        <v>-5347.0213700511131</v>
      </c>
      <c r="J28" s="70"/>
      <c r="K28" s="71">
        <f t="shared" si="1"/>
        <v>-5347.0213700511131</v>
      </c>
      <c r="L28" s="66"/>
      <c r="N28" s="52"/>
      <c r="O28" s="53"/>
      <c r="P28" s="53"/>
      <c r="Q28" s="53"/>
      <c r="R28" s="53"/>
      <c r="S28" s="53"/>
    </row>
    <row r="29" spans="2:19" x14ac:dyDescent="0.2">
      <c r="B29" s="66"/>
      <c r="C29" s="72" t="s">
        <v>58</v>
      </c>
      <c r="D29" s="68">
        <f>GETPIVOTDATA("Sum of "&amp;T(Transactions!$J$19),Pivot!$A$3,"Customer",C29)</f>
        <v>421843.63777912088</v>
      </c>
      <c r="E29" s="68">
        <f>GETPIVOTDATA("Sum of "&amp;T(Transactions!$K$19),Pivot!$A$3,"Customer",C29)</f>
        <v>464052.67751805496</v>
      </c>
      <c r="F29" s="68">
        <f t="shared" si="2"/>
        <v>-42209.03973893408</v>
      </c>
      <c r="G29" s="53">
        <f>+GETPIVOTDATA("Sum of "&amp;T(Transactions!$M$19),Pivot!$A$3,"Customer","Minden, LA")</f>
        <v>-2304.9131667413185</v>
      </c>
      <c r="H29" s="53">
        <f>GETPIVOTDATA("Sum of "&amp;T(Transactions!$Q$19),Pivot!$A$3,"Customer",C29)</f>
        <v>0</v>
      </c>
      <c r="I29" s="69">
        <f t="shared" si="0"/>
        <v>-44513.952905675396</v>
      </c>
      <c r="J29" s="70"/>
      <c r="K29" s="71">
        <f t="shared" si="1"/>
        <v>-44513.952905675396</v>
      </c>
      <c r="L29" s="66"/>
      <c r="N29" s="52"/>
      <c r="O29" s="53"/>
      <c r="P29" s="53"/>
      <c r="Q29" s="53"/>
      <c r="R29" s="53"/>
      <c r="S29" s="53"/>
    </row>
    <row r="30" spans="2:19" x14ac:dyDescent="0.2">
      <c r="B30" s="66"/>
      <c r="C30" s="72" t="s">
        <v>19</v>
      </c>
      <c r="D30" s="68">
        <f>GETPIVOTDATA("Sum of "&amp;T(Transactions!$J$19),Pivot!$A$3,"Customer",C30)</f>
        <v>805683.3442267892</v>
      </c>
      <c r="E30" s="68">
        <f>GETPIVOTDATA("Sum of "&amp;T(Transactions!$K$19),Pivot!$A$3,"Customer",C30)</f>
        <v>886298.80751196109</v>
      </c>
      <c r="F30" s="68">
        <f t="shared" si="2"/>
        <v>-80615.463285171892</v>
      </c>
      <c r="G30" s="53">
        <f>+GETPIVOTDATA("Sum of "&amp;T(Transactions!$M$19),Pivot!$A$3,"Customer","OG&amp;E")</f>
        <v>-4402.1764986410763</v>
      </c>
      <c r="H30" s="53">
        <f>GETPIVOTDATA("Sum of "&amp;T(Transactions!$Q$19),Pivot!$A$3,"Customer",C30)</f>
        <v>0</v>
      </c>
      <c r="I30" s="69">
        <f t="shared" si="0"/>
        <v>-85017.639783812963</v>
      </c>
      <c r="J30" s="70"/>
      <c r="K30" s="71">
        <f t="shared" si="1"/>
        <v>-85017.639783812963</v>
      </c>
      <c r="L30" s="66"/>
    </row>
    <row r="31" spans="2:19" x14ac:dyDescent="0.2">
      <c r="B31" s="66"/>
      <c r="C31" s="67" t="s">
        <v>8</v>
      </c>
      <c r="D31" s="68">
        <f>GETPIVOTDATA("Sum of "&amp;T(Transactions!$J$19),Pivot!$A$3,"Customer",C31)</f>
        <v>1655704.6083402729</v>
      </c>
      <c r="E31" s="68">
        <f>GETPIVOTDATA("Sum of "&amp;T(Transactions!$K$19),Pivot!$A$3,"Customer",C31)</f>
        <v>1821371.9204687625</v>
      </c>
      <c r="F31" s="68">
        <f t="shared" si="2"/>
        <v>-165667.3121284896</v>
      </c>
      <c r="G31" s="53">
        <f>+GETPIVOTDATA("Sum of "&amp;T(Transactions!$M$19),Pivot!$A$3,"Customer","OMPA")</f>
        <v>-9046.6111379306385</v>
      </c>
      <c r="H31" s="53">
        <f>GETPIVOTDATA("Sum of "&amp;T(Transactions!$Q$19),Pivot!$A$3,"Customer",C31)</f>
        <v>0</v>
      </c>
      <c r="I31" s="69">
        <f t="shared" si="0"/>
        <v>-174713.92326642026</v>
      </c>
      <c r="J31" s="70"/>
      <c r="K31" s="71">
        <f t="shared" si="1"/>
        <v>-174713.92326642026</v>
      </c>
      <c r="L31" s="66"/>
    </row>
    <row r="32" spans="2:19" x14ac:dyDescent="0.2">
      <c r="B32" s="66"/>
      <c r="C32" s="67" t="s">
        <v>57</v>
      </c>
      <c r="D32" s="68">
        <f>GETPIVOTDATA("Sum of "&amp;T(Transactions!$J$19),Pivot!$A$3,"Customer",C32)</f>
        <v>165950.50014734181</v>
      </c>
      <c r="E32" s="68">
        <f>GETPIVOTDATA("Sum of "&amp;T(Transactions!$K$19),Pivot!$A$3,"Customer",C32)</f>
        <v>182555.2575221177</v>
      </c>
      <c r="F32" s="68">
        <f t="shared" si="2"/>
        <v>-16604.757374775887</v>
      </c>
      <c r="G32" s="53">
        <f>+GETPIVOTDATA("Sum of "&amp;T(Transactions!$M$19),Pivot!$A$3,"Customer","Prescott, AR")</f>
        <v>-906.73761214147953</v>
      </c>
      <c r="H32" s="53">
        <f>GETPIVOTDATA("Sum of "&amp;T(Transactions!$Q$19),Pivot!$A$3,"Customer",C32)</f>
        <v>0</v>
      </c>
      <c r="I32" s="69">
        <f t="shared" si="0"/>
        <v>-17511.494986917365</v>
      </c>
      <c r="J32" s="70"/>
      <c r="K32" s="71">
        <f t="shared" si="1"/>
        <v>-17511.494986917365</v>
      </c>
      <c r="L32" s="66"/>
    </row>
    <row r="33" spans="2:13" x14ac:dyDescent="0.2">
      <c r="B33" s="66"/>
      <c r="C33" s="74" t="s">
        <v>9</v>
      </c>
      <c r="D33" s="68">
        <f>GETPIVOTDATA("Sum of "&amp;T(Transactions!$J$19),Pivot!$A$3,"Customer",C33)</f>
        <v>711940.3136092067</v>
      </c>
      <c r="E33" s="68">
        <f>GETPIVOTDATA("Sum of "&amp;T(Transactions!$K$19),Pivot!$A$3,"Customer",C33)</f>
        <v>783175.99028572638</v>
      </c>
      <c r="F33" s="68">
        <f t="shared" si="2"/>
        <v>-71235.676676519681</v>
      </c>
      <c r="G33" s="53">
        <f>+GETPIVOTDATA("Sum of "&amp;T(Transactions!$M$19),Pivot!$A$3,"Customer","WFEC")</f>
        <v>-3889.9735726985614</v>
      </c>
      <c r="H33" s="53">
        <f>GETPIVOTDATA("Sum of "&amp;T(Transactions!$Q$19),Pivot!$A$3,"Customer",C33)</f>
        <v>0</v>
      </c>
      <c r="I33" s="69">
        <f t="shared" si="0"/>
        <v>-75125.650249218248</v>
      </c>
      <c r="J33" s="70"/>
      <c r="K33" s="71">
        <f t="shared" si="1"/>
        <v>-75125.650249218248</v>
      </c>
      <c r="L33" s="66"/>
    </row>
    <row r="34" spans="2:13" ht="24" x14ac:dyDescent="0.2">
      <c r="C34" s="75" t="s">
        <v>44</v>
      </c>
      <c r="D34" s="76">
        <f t="shared" ref="D34:J34" si="3">SUM(D21:D33)</f>
        <v>35171371.649548069</v>
      </c>
      <c r="E34" s="76">
        <f t="shared" si="3"/>
        <v>38690566.182015866</v>
      </c>
      <c r="F34" s="76">
        <f t="shared" si="3"/>
        <v>-3519194.532467776</v>
      </c>
      <c r="G34" s="77">
        <f t="shared" si="3"/>
        <v>-192173.00048470261</v>
      </c>
      <c r="H34" s="77">
        <f t="shared" si="3"/>
        <v>0</v>
      </c>
      <c r="I34" s="78">
        <f t="shared" si="3"/>
        <v>-3711367.5329524791</v>
      </c>
      <c r="J34" s="79">
        <f t="shared" si="3"/>
        <v>0</v>
      </c>
      <c r="K34" s="80">
        <f t="shared" si="1"/>
        <v>-3711367.5329524791</v>
      </c>
    </row>
    <row r="35" spans="2:13" x14ac:dyDescent="0.2">
      <c r="C35" s="81" t="s">
        <v>21</v>
      </c>
      <c r="D35" s="68">
        <f>GETPIVOTDATA("Sum of "&amp;T(Transactions!$J$19),Pivot!$A$3,"Customer",C35)</f>
        <v>49077010.12372648</v>
      </c>
      <c r="E35" s="68">
        <f>GETPIVOTDATA("Sum of "&amp;T(Transactions!$K$19),Pivot!$A$3,"Customer",C35)</f>
        <v>53987581.921101995</v>
      </c>
      <c r="F35" s="68">
        <f t="shared" si="2"/>
        <v>-4910571.7973755151</v>
      </c>
      <c r="G35" s="53">
        <f>+GETPIVOTDATA("Sum of "&amp;T(Transactions!$M$19),Pivot!$A$3,"Customer","PSO")</f>
        <v>-268152.07505322952</v>
      </c>
      <c r="H35" s="53">
        <f>GETPIVOTDATA("Sum of "&amp;T(Transactions!$Q$19),Pivot!$A$3,"Customer",C35)</f>
        <v>0</v>
      </c>
      <c r="I35" s="69">
        <f>F35+G35-H35</f>
        <v>-5178723.872428745</v>
      </c>
      <c r="J35" s="70"/>
      <c r="K35" s="71">
        <f t="shared" si="1"/>
        <v>-5178723.872428745</v>
      </c>
    </row>
    <row r="36" spans="2:13" x14ac:dyDescent="0.2">
      <c r="C36" s="82" t="s">
        <v>22</v>
      </c>
      <c r="D36" s="68">
        <f>GETPIVOTDATA("Sum of "&amp;T(Transactions!$J$19),Pivot!$A$3,"Customer",C36)</f>
        <v>46236849.655555941</v>
      </c>
      <c r="E36" s="68">
        <f>GETPIVOTDATA("Sum of "&amp;T(Transactions!$K$19),Pivot!$A$3,"Customer",C36)</f>
        <v>50863239.269463919</v>
      </c>
      <c r="F36" s="68">
        <f>D36-E36</f>
        <v>-4626389.6139079779</v>
      </c>
      <c r="G36" s="53">
        <f>+GETPIVOTDATA("Sum of "&amp;T(Transactions!$M$19),Pivot!$A$3,"Customer","SWEPCO")</f>
        <v>-252633.7107294036</v>
      </c>
      <c r="H36" s="53">
        <f>GETPIVOTDATA("Sum of "&amp;T(Transactions!$Q$19),Pivot!$A$3,"Customer",C36)</f>
        <v>0</v>
      </c>
      <c r="I36" s="69">
        <f>F36+G36-H36</f>
        <v>-4879023.3246373814</v>
      </c>
      <c r="J36" s="70"/>
      <c r="K36" s="71">
        <f t="shared" si="1"/>
        <v>-4879023.3246373814</v>
      </c>
    </row>
    <row r="37" spans="2:13" x14ac:dyDescent="0.2">
      <c r="C37" s="83" t="s">
        <v>83</v>
      </c>
      <c r="D37" s="68">
        <f>GETPIVOTDATA("Sum of "&amp;T(Transactions!$J$19),Pivot!$A$3,"Customer",C37)</f>
        <v>2115552.1774508464</v>
      </c>
      <c r="E37" s="68">
        <f>GETPIVOTDATA("Sum of "&amp;T(Transactions!$K$19),Pivot!$A$3,"Customer",C37)</f>
        <v>2327231.1455109669</v>
      </c>
      <c r="F37" s="68">
        <f>D37-E37</f>
        <v>-211678.96806012047</v>
      </c>
      <c r="G37" s="53">
        <f>+GETPIVOTDATA("Sum of "&amp;T(Transactions!$M$19),Pivot!$A$3,"Customer","SWEPCO-Valley")</f>
        <v>-11559.17413951352</v>
      </c>
      <c r="H37" s="53">
        <f>GETPIVOTDATA("Sum of "&amp;T(Transactions!$Q$19),Pivot!$A$3,"Customer",C37)</f>
        <v>0</v>
      </c>
      <c r="I37" s="69">
        <f>F37+G37-H37</f>
        <v>-223238.14219963399</v>
      </c>
      <c r="J37" s="70"/>
      <c r="K37" s="71">
        <f t="shared" si="1"/>
        <v>-223238.14219963399</v>
      </c>
    </row>
    <row r="38" spans="2:13" ht="24" x14ac:dyDescent="0.2">
      <c r="C38" s="84" t="s">
        <v>53</v>
      </c>
      <c r="D38" s="85">
        <f t="shared" ref="D38:I38" si="4">SUM(D35:D37)</f>
        <v>97429411.956733271</v>
      </c>
      <c r="E38" s="85">
        <f t="shared" si="4"/>
        <v>107178052.33607689</v>
      </c>
      <c r="F38" s="85">
        <f t="shared" si="4"/>
        <v>-9748640.379343614</v>
      </c>
      <c r="G38" s="86">
        <f t="shared" si="4"/>
        <v>-532344.95992214663</v>
      </c>
      <c r="H38" s="86">
        <f t="shared" si="4"/>
        <v>0</v>
      </c>
      <c r="I38" s="87">
        <f t="shared" si="4"/>
        <v>-10280985.33926576</v>
      </c>
      <c r="J38" s="88">
        <f>SUM(J35:J37)</f>
        <v>0</v>
      </c>
      <c r="K38" s="89">
        <f t="shared" si="1"/>
        <v>-10280985.33926576</v>
      </c>
    </row>
    <row r="39" spans="2:13" ht="23.25" customHeight="1" thickBot="1" x14ac:dyDescent="0.25">
      <c r="C39" s="90" t="s">
        <v>45</v>
      </c>
      <c r="D39" s="91">
        <f t="shared" ref="D39:I39" si="5">SUM(D34,D38)</f>
        <v>132600783.60628134</v>
      </c>
      <c r="E39" s="92">
        <f t="shared" si="5"/>
        <v>145868618.51809275</v>
      </c>
      <c r="F39" s="91">
        <f t="shared" si="5"/>
        <v>-13267834.911811389</v>
      </c>
      <c r="G39" s="92">
        <f t="shared" si="5"/>
        <v>-724517.96040684928</v>
      </c>
      <c r="H39" s="92">
        <f t="shared" si="5"/>
        <v>0</v>
      </c>
      <c r="I39" s="93">
        <f t="shared" si="5"/>
        <v>-13992352.87221824</v>
      </c>
      <c r="J39" s="94">
        <f>SUM(J34,J38)</f>
        <v>0</v>
      </c>
      <c r="K39" s="95">
        <f t="shared" si="1"/>
        <v>-13992352.87221824</v>
      </c>
      <c r="M39" s="96"/>
    </row>
    <row r="40" spans="2:13" x14ac:dyDescent="0.2">
      <c r="E40" s="52"/>
      <c r="F40" s="52"/>
      <c r="G40" s="52"/>
      <c r="H40" s="52"/>
    </row>
    <row r="41" spans="2:13" x14ac:dyDescent="0.2">
      <c r="D41" s="239"/>
    </row>
    <row r="42" spans="2:13" x14ac:dyDescent="0.2">
      <c r="D42" s="240"/>
      <c r="K42" s="238"/>
    </row>
    <row r="45" spans="2:13" x14ac:dyDescent="0.2">
      <c r="D45" s="241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6"/>
  <sheetViews>
    <sheetView zoomScale="85" workbookViewId="0">
      <pane xSplit="2" ySplit="4" topLeftCell="I100" activePane="bottomRight" state="frozen"/>
      <selection activeCell="S11" sqref="S11"/>
      <selection pane="topRight" activeCell="S11" sqref="S11"/>
      <selection pane="bottomLeft" activeCell="S11" sqref="S11"/>
      <selection pane="bottomRight" activeCell="S11" sqref="S11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2.5703125" style="1" bestFit="1" customWidth="1"/>
    <col min="16" max="16384" width="8.7109375" style="1"/>
  </cols>
  <sheetData>
    <row r="3" spans="1:15" x14ac:dyDescent="0.2">
      <c r="A3" s="98"/>
      <c r="B3" s="99"/>
      <c r="C3" s="100" t="s">
        <v>55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">
      <c r="A4" s="100" t="s">
        <v>0</v>
      </c>
      <c r="B4" s="100" t="s">
        <v>24</v>
      </c>
      <c r="C4" s="102">
        <v>44562</v>
      </c>
      <c r="D4" s="103">
        <v>44593</v>
      </c>
      <c r="E4" s="103">
        <v>44621</v>
      </c>
      <c r="F4" s="103">
        <v>44652</v>
      </c>
      <c r="G4" s="103">
        <v>44682</v>
      </c>
      <c r="H4" s="103">
        <v>44713</v>
      </c>
      <c r="I4" s="103">
        <v>44743</v>
      </c>
      <c r="J4" s="103">
        <v>44774</v>
      </c>
      <c r="K4" s="103">
        <v>44805</v>
      </c>
      <c r="L4" s="103">
        <v>44835</v>
      </c>
      <c r="M4" s="103">
        <v>44866</v>
      </c>
      <c r="N4" s="103">
        <v>44896</v>
      </c>
      <c r="O4" s="104" t="s">
        <v>18</v>
      </c>
    </row>
    <row r="5" spans="1:15" x14ac:dyDescent="0.2">
      <c r="A5" s="98" t="s">
        <v>14</v>
      </c>
      <c r="B5" s="98" t="s">
        <v>72</v>
      </c>
      <c r="C5" s="105">
        <v>1131250.3559662309</v>
      </c>
      <c r="D5" s="106">
        <v>1008370.977994535</v>
      </c>
      <c r="E5" s="106">
        <v>886758.39773388754</v>
      </c>
      <c r="F5" s="106">
        <v>695471.94336557749</v>
      </c>
      <c r="G5" s="106">
        <v>953898.67641945335</v>
      </c>
      <c r="H5" s="106">
        <v>1193323.4438076029</v>
      </c>
      <c r="I5" s="106">
        <v>1312402.4286461535</v>
      </c>
      <c r="J5" s="106">
        <v>1208525.0163401838</v>
      </c>
      <c r="K5" s="106">
        <v>1089446.0315016333</v>
      </c>
      <c r="L5" s="106">
        <v>746143.85180751397</v>
      </c>
      <c r="M5" s="106">
        <v>924762.32906533987</v>
      </c>
      <c r="N5" s="106">
        <v>1422613.8295073654</v>
      </c>
      <c r="O5" s="107">
        <v>12572967.282155478</v>
      </c>
    </row>
    <row r="6" spans="1:15" x14ac:dyDescent="0.2">
      <c r="A6" s="228"/>
      <c r="B6" s="108" t="s">
        <v>25</v>
      </c>
      <c r="C6" s="231">
        <v>-113191.20866927388</v>
      </c>
      <c r="D6" s="232">
        <v>-100896.08297955443</v>
      </c>
      <c r="E6" s="232">
        <v>-88727.711162924767</v>
      </c>
      <c r="F6" s="232">
        <v>-69587.876326350961</v>
      </c>
      <c r="G6" s="232">
        <v>-95445.666436689091</v>
      </c>
      <c r="H6" s="232">
        <v>-119402.14845067891</v>
      </c>
      <c r="I6" s="232">
        <v>-131317.01252112864</v>
      </c>
      <c r="J6" s="232">
        <v>-120923.19492775761</v>
      </c>
      <c r="K6" s="232">
        <v>-109008.33085730742</v>
      </c>
      <c r="L6" s="232">
        <v>-74658.031249946682</v>
      </c>
      <c r="M6" s="232">
        <v>-92530.327355621499</v>
      </c>
      <c r="N6" s="232">
        <v>-142344.5994799491</v>
      </c>
      <c r="O6" s="233">
        <v>-1258032.1904171831</v>
      </c>
    </row>
    <row r="7" spans="1:15" x14ac:dyDescent="0.2">
      <c r="A7" s="228"/>
      <c r="B7" s="108" t="s">
        <v>26</v>
      </c>
      <c r="C7" s="231">
        <v>-6181.0434171171091</v>
      </c>
      <c r="D7" s="232">
        <v>-5509.6422844627314</v>
      </c>
      <c r="E7" s="232">
        <v>-4845.1628129697383</v>
      </c>
      <c r="F7" s="232">
        <v>-3799.9919776005522</v>
      </c>
      <c r="G7" s="232">
        <v>-5212.0108545231615</v>
      </c>
      <c r="H7" s="232">
        <v>-6520.2048140249917</v>
      </c>
      <c r="I7" s="232">
        <v>-7170.8409631952127</v>
      </c>
      <c r="J7" s="232">
        <v>-6603.2647479616153</v>
      </c>
      <c r="K7" s="232">
        <v>-5952.6285987913934</v>
      </c>
      <c r="L7" s="232">
        <v>-4076.8584240559658</v>
      </c>
      <c r="M7" s="232">
        <v>-5052.812647811299</v>
      </c>
      <c r="N7" s="232">
        <v>-7773.0254842357372</v>
      </c>
      <c r="O7" s="233">
        <v>-68697.487026749499</v>
      </c>
    </row>
    <row r="8" spans="1:15" x14ac:dyDescent="0.2">
      <c r="A8" s="228"/>
      <c r="B8" s="108" t="s">
        <v>27</v>
      </c>
      <c r="C8" s="231">
        <v>-119372.25208639099</v>
      </c>
      <c r="D8" s="232">
        <v>-106405.72526401716</v>
      </c>
      <c r="E8" s="232">
        <v>-93572.873975894501</v>
      </c>
      <c r="F8" s="232">
        <v>-73387.868303951516</v>
      </c>
      <c r="G8" s="232">
        <v>-100657.67729121225</v>
      </c>
      <c r="H8" s="232">
        <v>-125922.35326470391</v>
      </c>
      <c r="I8" s="232">
        <v>-138487.85348432386</v>
      </c>
      <c r="J8" s="232">
        <v>-127526.45967571922</v>
      </c>
      <c r="K8" s="232">
        <v>-114960.9594560988</v>
      </c>
      <c r="L8" s="232">
        <v>-78734.889674002654</v>
      </c>
      <c r="M8" s="232">
        <v>-97583.140003432796</v>
      </c>
      <c r="N8" s="232">
        <v>-150117.62496418483</v>
      </c>
      <c r="O8" s="233">
        <v>-1326729.6774439325</v>
      </c>
    </row>
    <row r="9" spans="1:15" x14ac:dyDescent="0.2">
      <c r="A9" s="228"/>
      <c r="B9" s="108" t="s">
        <v>51</v>
      </c>
      <c r="C9" s="109">
        <v>1244441.5646355047</v>
      </c>
      <c r="D9" s="97">
        <v>1109267.0609740894</v>
      </c>
      <c r="E9" s="97">
        <v>975486.10889681231</v>
      </c>
      <c r="F9" s="97">
        <v>765059.81969192845</v>
      </c>
      <c r="G9" s="97">
        <v>1049344.3428561424</v>
      </c>
      <c r="H9" s="97">
        <v>1312725.5922582818</v>
      </c>
      <c r="I9" s="97">
        <v>1443719.4411672822</v>
      </c>
      <c r="J9" s="97">
        <v>1329448.2112679414</v>
      </c>
      <c r="K9" s="97">
        <v>1198454.3623589408</v>
      </c>
      <c r="L9" s="97">
        <v>820801.88305746065</v>
      </c>
      <c r="M9" s="97">
        <v>1017292.6564209614</v>
      </c>
      <c r="N9" s="97">
        <v>1564958.4289873145</v>
      </c>
      <c r="O9" s="110">
        <v>13830999.47257266</v>
      </c>
    </row>
    <row r="10" spans="1:15" x14ac:dyDescent="0.2">
      <c r="A10" s="228"/>
      <c r="B10" s="108" t="s">
        <v>91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">
      <c r="A11" s="228"/>
      <c r="B11" s="108" t="s">
        <v>93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">
      <c r="A12" s="98" t="s">
        <v>17</v>
      </c>
      <c r="B12" s="98" t="s">
        <v>72</v>
      </c>
      <c r="C12" s="105">
        <v>134280.55737113155</v>
      </c>
      <c r="D12" s="106">
        <v>127946.56881588949</v>
      </c>
      <c r="E12" s="106">
        <v>122879.37797169584</v>
      </c>
      <c r="F12" s="106">
        <v>124146.17568274426</v>
      </c>
      <c r="G12" s="106">
        <v>131746.96194903471</v>
      </c>
      <c r="H12" s="106">
        <v>145681.73677056722</v>
      </c>
      <c r="I12" s="106">
        <v>53205.50386403325</v>
      </c>
      <c r="J12" s="106">
        <v>51938.706152984843</v>
      </c>
      <c r="K12" s="106">
        <v>145681.73677056722</v>
      </c>
      <c r="L12" s="106">
        <v>133013.75966008313</v>
      </c>
      <c r="M12" s="106">
        <v>131746.96194903471</v>
      </c>
      <c r="N12" s="106">
        <v>131746.96194903471</v>
      </c>
      <c r="O12" s="107">
        <v>1434015.0089068008</v>
      </c>
    </row>
    <row r="13" spans="1:15" x14ac:dyDescent="0.2">
      <c r="A13" s="228"/>
      <c r="B13" s="108" t="s">
        <v>25</v>
      </c>
      <c r="C13" s="231">
        <v>-13435.910547528591</v>
      </c>
      <c r="D13" s="232">
        <v>-12802.14118207914</v>
      </c>
      <c r="E13" s="232">
        <v>-12295.125689719585</v>
      </c>
      <c r="F13" s="232">
        <v>-12421.879562809467</v>
      </c>
      <c r="G13" s="232">
        <v>-13182.402801348828</v>
      </c>
      <c r="H13" s="232">
        <v>-14576.695405337639</v>
      </c>
      <c r="I13" s="232">
        <v>-5323.6626697754909</v>
      </c>
      <c r="J13" s="232">
        <v>-5196.9087966855877</v>
      </c>
      <c r="K13" s="232">
        <v>-14576.695405337639</v>
      </c>
      <c r="L13" s="232">
        <v>-13309.156674438709</v>
      </c>
      <c r="M13" s="232">
        <v>-13182.402801348828</v>
      </c>
      <c r="N13" s="232">
        <v>-13182.402801348828</v>
      </c>
      <c r="O13" s="233">
        <v>-143485.38433775835</v>
      </c>
    </row>
    <row r="14" spans="1:15" x14ac:dyDescent="0.2">
      <c r="A14" s="228"/>
      <c r="B14" s="108" t="s">
        <v>26</v>
      </c>
      <c r="C14" s="231">
        <v>-733.69608310684612</v>
      </c>
      <c r="D14" s="232">
        <v>-699.08777729991937</v>
      </c>
      <c r="E14" s="232">
        <v>-671.4011326543781</v>
      </c>
      <c r="F14" s="232">
        <v>-678.32279381576336</v>
      </c>
      <c r="G14" s="232">
        <v>-719.85276078407537</v>
      </c>
      <c r="H14" s="232">
        <v>-795.99103355931425</v>
      </c>
      <c r="I14" s="232">
        <v>-290.7097687781843</v>
      </c>
      <c r="J14" s="232">
        <v>-283.78810761679892</v>
      </c>
      <c r="K14" s="232">
        <v>-795.99103355931425</v>
      </c>
      <c r="L14" s="232">
        <v>-726.77442194546086</v>
      </c>
      <c r="M14" s="232">
        <v>-719.85276078407537</v>
      </c>
      <c r="N14" s="232">
        <v>-719.85276078407537</v>
      </c>
      <c r="O14" s="233">
        <v>-7835.3204346882048</v>
      </c>
    </row>
    <row r="15" spans="1:15" x14ac:dyDescent="0.2">
      <c r="A15" s="228"/>
      <c r="B15" s="108" t="s">
        <v>27</v>
      </c>
      <c r="C15" s="231">
        <v>-14169.606630635437</v>
      </c>
      <c r="D15" s="232">
        <v>-13501.228959379059</v>
      </c>
      <c r="E15" s="232">
        <v>-12966.526822373964</v>
      </c>
      <c r="F15" s="232">
        <v>-13100.20235662523</v>
      </c>
      <c r="G15" s="232">
        <v>-13902.255562132903</v>
      </c>
      <c r="H15" s="232">
        <v>-15372.686438896953</v>
      </c>
      <c r="I15" s="232">
        <v>-5614.3724385536752</v>
      </c>
      <c r="J15" s="232">
        <v>-5480.6969043023864</v>
      </c>
      <c r="K15" s="232">
        <v>-15372.686438896953</v>
      </c>
      <c r="L15" s="232">
        <v>-14035.931096384171</v>
      </c>
      <c r="M15" s="232">
        <v>-13902.255562132903</v>
      </c>
      <c r="N15" s="232">
        <v>-13902.255562132903</v>
      </c>
      <c r="O15" s="233">
        <v>-151320.70477244654</v>
      </c>
    </row>
    <row r="16" spans="1:15" x14ac:dyDescent="0.2">
      <c r="A16" s="228"/>
      <c r="B16" s="108" t="s">
        <v>51</v>
      </c>
      <c r="C16" s="109">
        <v>147716.46791866014</v>
      </c>
      <c r="D16" s="97">
        <v>140748.70999796863</v>
      </c>
      <c r="E16" s="97">
        <v>135174.50366141542</v>
      </c>
      <c r="F16" s="97">
        <v>136568.05524555373</v>
      </c>
      <c r="G16" s="97">
        <v>144929.36475038354</v>
      </c>
      <c r="H16" s="97">
        <v>160258.43217590486</v>
      </c>
      <c r="I16" s="97">
        <v>58529.16653380874</v>
      </c>
      <c r="J16" s="97">
        <v>57135.614949670431</v>
      </c>
      <c r="K16" s="97">
        <v>160258.43217590486</v>
      </c>
      <c r="L16" s="97">
        <v>146322.91633452184</v>
      </c>
      <c r="M16" s="97">
        <v>144929.36475038354</v>
      </c>
      <c r="N16" s="97">
        <v>144929.36475038354</v>
      </c>
      <c r="O16" s="110">
        <v>1577500.3932445589</v>
      </c>
    </row>
    <row r="17" spans="1:15" x14ac:dyDescent="0.2">
      <c r="A17" s="228"/>
      <c r="B17" s="108" t="s">
        <v>91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">
      <c r="A18" s="228"/>
      <c r="B18" s="108" t="s">
        <v>93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">
      <c r="A19" s="98" t="s">
        <v>13</v>
      </c>
      <c r="B19" s="98" t="s">
        <v>72</v>
      </c>
      <c r="C19" s="105">
        <v>1323803.6080455892</v>
      </c>
      <c r="D19" s="106">
        <v>1411212.6501079295</v>
      </c>
      <c r="E19" s="106">
        <v>1237661.3636942974</v>
      </c>
      <c r="F19" s="106">
        <v>682803.96625509334</v>
      </c>
      <c r="G19" s="106">
        <v>955165.47413050174</v>
      </c>
      <c r="H19" s="106">
        <v>1198390.6346517967</v>
      </c>
      <c r="I19" s="106">
        <v>1240194.9591163942</v>
      </c>
      <c r="J19" s="106">
        <v>1232594.1728501036</v>
      </c>
      <c r="K19" s="106">
        <v>1072977.6612580039</v>
      </c>
      <c r="L19" s="106">
        <v>771479.80602848215</v>
      </c>
      <c r="M19" s="106">
        <v>1022305.7528160674</v>
      </c>
      <c r="N19" s="106">
        <v>1816587.9176434211</v>
      </c>
      <c r="O19" s="107">
        <v>13965177.96659768</v>
      </c>
    </row>
    <row r="20" spans="1:15" x14ac:dyDescent="0.2">
      <c r="A20" s="228"/>
      <c r="B20" s="108" t="s">
        <v>25</v>
      </c>
      <c r="C20" s="231">
        <v>-132457.79737893771</v>
      </c>
      <c r="D20" s="232">
        <v>-141203.81462214026</v>
      </c>
      <c r="E20" s="232">
        <v>-123838.53400882496</v>
      </c>
      <c r="F20" s="232">
        <v>-68320.337595452089</v>
      </c>
      <c r="G20" s="232">
        <v>-95572.420309779001</v>
      </c>
      <c r="H20" s="232">
        <v>-119909.16394303832</v>
      </c>
      <c r="I20" s="232">
        <v>-124092.04175500479</v>
      </c>
      <c r="J20" s="232">
        <v>-123331.51851646556</v>
      </c>
      <c r="K20" s="232">
        <v>-107360.53050713893</v>
      </c>
      <c r="L20" s="232">
        <v>-77193.108711744542</v>
      </c>
      <c r="M20" s="232">
        <v>-102290.37558354333</v>
      </c>
      <c r="N20" s="232">
        <v>-181765.05401090579</v>
      </c>
      <c r="O20" s="233">
        <v>-1397334.6969429753</v>
      </c>
    </row>
    <row r="21" spans="1:15" x14ac:dyDescent="0.2">
      <c r="A21" s="228"/>
      <c r="B21" s="108" t="s">
        <v>26</v>
      </c>
      <c r="C21" s="231">
        <v>-7233.1359136476813</v>
      </c>
      <c r="D21" s="232">
        <v>-7710.7305337832695</v>
      </c>
      <c r="E21" s="232">
        <v>-6762.4629546734777</v>
      </c>
      <c r="F21" s="232">
        <v>-3730.7753659866985</v>
      </c>
      <c r="G21" s="232">
        <v>-5218.9325156845471</v>
      </c>
      <c r="H21" s="232">
        <v>-6547.8914586705323</v>
      </c>
      <c r="I21" s="232">
        <v>-6776.306276996248</v>
      </c>
      <c r="J21" s="232">
        <v>-6734.7763100279362</v>
      </c>
      <c r="K21" s="232">
        <v>-5862.6470036933833</v>
      </c>
      <c r="L21" s="232">
        <v>-4215.2916472836723</v>
      </c>
      <c r="M21" s="232">
        <v>-5585.7805572379702</v>
      </c>
      <c r="N21" s="232">
        <v>-9925.6621054265779</v>
      </c>
      <c r="O21" s="233">
        <v>-76304.392643111991</v>
      </c>
    </row>
    <row r="22" spans="1:15" x14ac:dyDescent="0.2">
      <c r="A22" s="228"/>
      <c r="B22" s="108" t="s">
        <v>27</v>
      </c>
      <c r="C22" s="231">
        <v>-139690.9332925854</v>
      </c>
      <c r="D22" s="232">
        <v>-148914.54515592352</v>
      </c>
      <c r="E22" s="232">
        <v>-130600.99696349844</v>
      </c>
      <c r="F22" s="232">
        <v>-72051.11296143879</v>
      </c>
      <c r="G22" s="232">
        <v>-100791.35282546355</v>
      </c>
      <c r="H22" s="232">
        <v>-126457.05540170886</v>
      </c>
      <c r="I22" s="232">
        <v>-130868.34803200103</v>
      </c>
      <c r="J22" s="232">
        <v>-130066.2948264935</v>
      </c>
      <c r="K22" s="232">
        <v>-113223.17751083232</v>
      </c>
      <c r="L22" s="232">
        <v>-81408.400359028208</v>
      </c>
      <c r="M22" s="232">
        <v>-107876.1561407813</v>
      </c>
      <c r="N22" s="232">
        <v>-191690.71611633236</v>
      </c>
      <c r="O22" s="233">
        <v>-1473639.0895860873</v>
      </c>
    </row>
    <row r="23" spans="1:15" x14ac:dyDescent="0.2">
      <c r="A23" s="228"/>
      <c r="B23" s="108" t="s">
        <v>51</v>
      </c>
      <c r="C23" s="109">
        <v>1456261.4054245269</v>
      </c>
      <c r="D23" s="97">
        <v>1552416.4647300697</v>
      </c>
      <c r="E23" s="97">
        <v>1361499.8977031223</v>
      </c>
      <c r="F23" s="97">
        <v>751124.30385054543</v>
      </c>
      <c r="G23" s="97">
        <v>1050737.8944402807</v>
      </c>
      <c r="H23" s="97">
        <v>1318299.798594835</v>
      </c>
      <c r="I23" s="97">
        <v>1364287.000871399</v>
      </c>
      <c r="J23" s="97">
        <v>1355925.6913665691</v>
      </c>
      <c r="K23" s="97">
        <v>1180338.1917651428</v>
      </c>
      <c r="L23" s="97">
        <v>848672.9147402267</v>
      </c>
      <c r="M23" s="97">
        <v>1124596.1283996108</v>
      </c>
      <c r="N23" s="97">
        <v>1998352.9716543269</v>
      </c>
      <c r="O23" s="110">
        <v>15362512.663540658</v>
      </c>
    </row>
    <row r="24" spans="1:15" x14ac:dyDescent="0.2">
      <c r="A24" s="228"/>
      <c r="B24" s="108" t="s">
        <v>91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">
      <c r="A25" s="228"/>
      <c r="B25" s="108" t="s">
        <v>93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">
      <c r="A26" s="98" t="s">
        <v>15</v>
      </c>
      <c r="B26" s="98" t="s">
        <v>72</v>
      </c>
      <c r="C26" s="105">
        <v>10134.381688387286</v>
      </c>
      <c r="D26" s="106">
        <v>8867.5839773388761</v>
      </c>
      <c r="E26" s="106">
        <v>6333.9885552420537</v>
      </c>
      <c r="F26" s="106">
        <v>8867.5839773388761</v>
      </c>
      <c r="G26" s="106">
        <v>12667.977110484107</v>
      </c>
      <c r="H26" s="106">
        <v>17735.167954677752</v>
      </c>
      <c r="I26" s="106">
        <v>22802.358798871392</v>
      </c>
      <c r="J26" s="106">
        <v>20268.763376774572</v>
      </c>
      <c r="K26" s="106">
        <v>11401.179399435696</v>
      </c>
      <c r="L26" s="106">
        <v>7600.7862662904645</v>
      </c>
      <c r="M26" s="106">
        <v>7600.7862662904645</v>
      </c>
      <c r="N26" s="106">
        <v>10134.381688387286</v>
      </c>
      <c r="O26" s="107">
        <v>144414.9390595188</v>
      </c>
    </row>
    <row r="27" spans="1:15" x14ac:dyDescent="0.2">
      <c r="A27" s="228"/>
      <c r="B27" s="108" t="s">
        <v>25</v>
      </c>
      <c r="C27" s="231">
        <v>-1014.0309847191402</v>
      </c>
      <c r="D27" s="232">
        <v>-887.27711162924606</v>
      </c>
      <c r="E27" s="232">
        <v>-633.76936544946238</v>
      </c>
      <c r="F27" s="232">
        <v>-887.27711162924606</v>
      </c>
      <c r="G27" s="232">
        <v>-1267.5387308989248</v>
      </c>
      <c r="H27" s="232">
        <v>-1774.5542232584921</v>
      </c>
      <c r="I27" s="232">
        <v>-2281.5697156180686</v>
      </c>
      <c r="J27" s="232">
        <v>-2028.0619694382804</v>
      </c>
      <c r="K27" s="232">
        <v>-1140.7848578090343</v>
      </c>
      <c r="L27" s="232">
        <v>-760.52323853935559</v>
      </c>
      <c r="M27" s="232">
        <v>-760.52323853935559</v>
      </c>
      <c r="N27" s="232">
        <v>-1014.0309847191402</v>
      </c>
      <c r="O27" s="233">
        <v>-14449.941532247745</v>
      </c>
    </row>
    <row r="28" spans="1:15" x14ac:dyDescent="0.2">
      <c r="A28" s="228"/>
      <c r="B28" s="108" t="s">
        <v>26</v>
      </c>
      <c r="C28" s="231">
        <v>-55.373289291082727</v>
      </c>
      <c r="D28" s="232">
        <v>-48.451628129697383</v>
      </c>
      <c r="E28" s="232">
        <v>-34.608305806926701</v>
      </c>
      <c r="F28" s="232">
        <v>-48.451628129697383</v>
      </c>
      <c r="G28" s="232">
        <v>-69.216611613853402</v>
      </c>
      <c r="H28" s="232">
        <v>-96.903256259394766</v>
      </c>
      <c r="I28" s="232">
        <v>-124.58990090493614</v>
      </c>
      <c r="J28" s="232">
        <v>-110.74657858216545</v>
      </c>
      <c r="K28" s="232">
        <v>-62.294950452468072</v>
      </c>
      <c r="L28" s="232">
        <v>-41.529966968312046</v>
      </c>
      <c r="M28" s="232">
        <v>-41.529966968312046</v>
      </c>
      <c r="N28" s="232">
        <v>-55.373289291082727</v>
      </c>
      <c r="O28" s="233">
        <v>-789.06937239792887</v>
      </c>
    </row>
    <row r="29" spans="1:15" x14ac:dyDescent="0.2">
      <c r="A29" s="228"/>
      <c r="B29" s="108" t="s">
        <v>27</v>
      </c>
      <c r="C29" s="231">
        <v>-1069.4042740102229</v>
      </c>
      <c r="D29" s="232">
        <v>-935.72873975894345</v>
      </c>
      <c r="E29" s="232">
        <v>-668.37767125638914</v>
      </c>
      <c r="F29" s="232">
        <v>-935.72873975894345</v>
      </c>
      <c r="G29" s="232">
        <v>-1336.7553425127783</v>
      </c>
      <c r="H29" s="232">
        <v>-1871.4574795178869</v>
      </c>
      <c r="I29" s="232">
        <v>-2406.1596165230048</v>
      </c>
      <c r="J29" s="232">
        <v>-2138.8085480204459</v>
      </c>
      <c r="K29" s="232">
        <v>-1203.0798082615024</v>
      </c>
      <c r="L29" s="232">
        <v>-802.0532055076676</v>
      </c>
      <c r="M29" s="232">
        <v>-802.0532055076676</v>
      </c>
      <c r="N29" s="232">
        <v>-1069.4042740102229</v>
      </c>
      <c r="O29" s="233">
        <v>-15239.010904645676</v>
      </c>
    </row>
    <row r="30" spans="1:15" x14ac:dyDescent="0.2">
      <c r="A30" s="228"/>
      <c r="B30" s="108" t="s">
        <v>51</v>
      </c>
      <c r="C30" s="109">
        <v>11148.412673106426</v>
      </c>
      <c r="D30" s="97">
        <v>9754.8610889681222</v>
      </c>
      <c r="E30" s="97">
        <v>6967.7579206915161</v>
      </c>
      <c r="F30" s="97">
        <v>9754.8610889681222</v>
      </c>
      <c r="G30" s="97">
        <v>13935.515841383032</v>
      </c>
      <c r="H30" s="97">
        <v>19509.722177936244</v>
      </c>
      <c r="I30" s="97">
        <v>25083.92851448946</v>
      </c>
      <c r="J30" s="97">
        <v>22296.825346212852</v>
      </c>
      <c r="K30" s="97">
        <v>12541.96425724473</v>
      </c>
      <c r="L30" s="97">
        <v>8361.3095048298201</v>
      </c>
      <c r="M30" s="97">
        <v>8361.3095048298201</v>
      </c>
      <c r="N30" s="97">
        <v>11148.412673106426</v>
      </c>
      <c r="O30" s="110">
        <v>158864.88059176656</v>
      </c>
    </row>
    <row r="31" spans="1:15" x14ac:dyDescent="0.2">
      <c r="A31" s="228"/>
      <c r="B31" s="108" t="s">
        <v>91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">
      <c r="A32" s="228"/>
      <c r="B32" s="108" t="s">
        <v>93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">
      <c r="A33" s="98" t="s">
        <v>16</v>
      </c>
      <c r="B33" s="98" t="s">
        <v>72</v>
      </c>
      <c r="C33" s="105">
        <v>3800.3931331452322</v>
      </c>
      <c r="D33" s="106">
        <v>2533.5954220968215</v>
      </c>
      <c r="E33" s="106">
        <v>3800.3931331452322</v>
      </c>
      <c r="F33" s="106">
        <v>2533.5954220968215</v>
      </c>
      <c r="G33" s="106">
        <v>3800.3931331452322</v>
      </c>
      <c r="H33" s="106">
        <v>6333.9885552420537</v>
      </c>
      <c r="I33" s="106">
        <v>7600.7862662904645</v>
      </c>
      <c r="J33" s="106">
        <v>7600.7862662904645</v>
      </c>
      <c r="K33" s="106">
        <v>3800.3931331452322</v>
      </c>
      <c r="L33" s="106">
        <v>2533.5954220968215</v>
      </c>
      <c r="M33" s="106">
        <v>1266.7977110484107</v>
      </c>
      <c r="N33" s="106">
        <v>5067.190844193643</v>
      </c>
      <c r="O33" s="107">
        <v>50671.908441936437</v>
      </c>
    </row>
    <row r="34" spans="1:15" x14ac:dyDescent="0.2">
      <c r="A34" s="228"/>
      <c r="B34" s="108" t="s">
        <v>25</v>
      </c>
      <c r="C34" s="231">
        <v>-380.26161926967779</v>
      </c>
      <c r="D34" s="232">
        <v>-253.50774617978504</v>
      </c>
      <c r="E34" s="232">
        <v>-380.26161926967779</v>
      </c>
      <c r="F34" s="232">
        <v>-253.50774617978504</v>
      </c>
      <c r="G34" s="232">
        <v>-380.26161926967779</v>
      </c>
      <c r="H34" s="232">
        <v>-633.76936544946238</v>
      </c>
      <c r="I34" s="232">
        <v>-760.52323853935559</v>
      </c>
      <c r="J34" s="232">
        <v>-760.52323853935559</v>
      </c>
      <c r="K34" s="232">
        <v>-380.26161926967779</v>
      </c>
      <c r="L34" s="232">
        <v>-253.50774617978504</v>
      </c>
      <c r="M34" s="232">
        <v>-126.75387308989252</v>
      </c>
      <c r="N34" s="232">
        <v>-507.01549235957009</v>
      </c>
      <c r="O34" s="233">
        <v>-5070.1549235957018</v>
      </c>
    </row>
    <row r="35" spans="1:15" x14ac:dyDescent="0.2">
      <c r="A35" s="228"/>
      <c r="B35" s="108" t="s">
        <v>26</v>
      </c>
      <c r="C35" s="231">
        <v>-20.764983484156023</v>
      </c>
      <c r="D35" s="232">
        <v>-13.843322322770682</v>
      </c>
      <c r="E35" s="232">
        <v>-20.764983484156023</v>
      </c>
      <c r="F35" s="232">
        <v>-13.843322322770682</v>
      </c>
      <c r="G35" s="232">
        <v>-20.764983484156023</v>
      </c>
      <c r="H35" s="232">
        <v>-34.608305806926701</v>
      </c>
      <c r="I35" s="232">
        <v>-41.529966968312046</v>
      </c>
      <c r="J35" s="232">
        <v>-41.529966968312046</v>
      </c>
      <c r="K35" s="232">
        <v>-20.764983484156023</v>
      </c>
      <c r="L35" s="232">
        <v>-13.843322322770682</v>
      </c>
      <c r="M35" s="232">
        <v>-6.9216611613853409</v>
      </c>
      <c r="N35" s="232">
        <v>-27.686644645541364</v>
      </c>
      <c r="O35" s="233">
        <v>-276.86644645541367</v>
      </c>
    </row>
    <row r="36" spans="1:15" x14ac:dyDescent="0.2">
      <c r="A36" s="228"/>
      <c r="B36" s="108" t="s">
        <v>27</v>
      </c>
      <c r="C36" s="231">
        <v>-401.0266027538338</v>
      </c>
      <c r="D36" s="232">
        <v>-267.35106850255573</v>
      </c>
      <c r="E36" s="232">
        <v>-401.0266027538338</v>
      </c>
      <c r="F36" s="232">
        <v>-267.35106850255573</v>
      </c>
      <c r="G36" s="232">
        <v>-401.0266027538338</v>
      </c>
      <c r="H36" s="232">
        <v>-668.37767125638914</v>
      </c>
      <c r="I36" s="232">
        <v>-802.0532055076676</v>
      </c>
      <c r="J36" s="232">
        <v>-802.0532055076676</v>
      </c>
      <c r="K36" s="232">
        <v>-401.0266027538338</v>
      </c>
      <c r="L36" s="232">
        <v>-267.35106850255573</v>
      </c>
      <c r="M36" s="232">
        <v>-133.67553425127787</v>
      </c>
      <c r="N36" s="232">
        <v>-534.70213700511147</v>
      </c>
      <c r="O36" s="233">
        <v>-5347.0213700511158</v>
      </c>
    </row>
    <row r="37" spans="1:15" x14ac:dyDescent="0.2">
      <c r="A37" s="228"/>
      <c r="B37" s="108" t="s">
        <v>51</v>
      </c>
      <c r="C37" s="109">
        <v>4180.65475241491</v>
      </c>
      <c r="D37" s="97">
        <v>2787.1031682766065</v>
      </c>
      <c r="E37" s="97">
        <v>4180.65475241491</v>
      </c>
      <c r="F37" s="97">
        <v>2787.1031682766065</v>
      </c>
      <c r="G37" s="97">
        <v>4180.65475241491</v>
      </c>
      <c r="H37" s="97">
        <v>6967.7579206915161</v>
      </c>
      <c r="I37" s="97">
        <v>8361.3095048298201</v>
      </c>
      <c r="J37" s="97">
        <v>8361.3095048298201</v>
      </c>
      <c r="K37" s="97">
        <v>4180.65475241491</v>
      </c>
      <c r="L37" s="97">
        <v>2787.1031682766065</v>
      </c>
      <c r="M37" s="97">
        <v>1393.5515841383033</v>
      </c>
      <c r="N37" s="97">
        <v>5574.2063365532131</v>
      </c>
      <c r="O37" s="110">
        <v>55742.063365532136</v>
      </c>
    </row>
    <row r="38" spans="1:15" x14ac:dyDescent="0.2">
      <c r="A38" s="228"/>
      <c r="B38" s="108" t="s">
        <v>91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">
      <c r="A39" s="228"/>
      <c r="B39" s="108" t="s">
        <v>93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">
      <c r="A40" s="98" t="s">
        <v>19</v>
      </c>
      <c r="B40" s="98" t="s">
        <v>72</v>
      </c>
      <c r="C40" s="105">
        <v>53205.50386403325</v>
      </c>
      <c r="D40" s="106">
        <v>54472.301575081663</v>
      </c>
      <c r="E40" s="106">
        <v>53205.50386403325</v>
      </c>
      <c r="F40" s="106">
        <v>65873.480974517355</v>
      </c>
      <c r="G40" s="106">
        <v>65873.480974517355</v>
      </c>
      <c r="H40" s="106">
        <v>70940.671818711009</v>
      </c>
      <c r="I40" s="106">
        <v>73474.267240807822</v>
      </c>
      <c r="J40" s="106">
        <v>76007.862662904648</v>
      </c>
      <c r="K40" s="106">
        <v>73474.267240807822</v>
      </c>
      <c r="L40" s="106">
        <v>70940.671818711009</v>
      </c>
      <c r="M40" s="106">
        <v>74741.064951856228</v>
      </c>
      <c r="N40" s="106">
        <v>73474.267240807822</v>
      </c>
      <c r="O40" s="107">
        <v>805683.3442267892</v>
      </c>
    </row>
    <row r="41" spans="1:15" x14ac:dyDescent="0.2">
      <c r="A41" s="228"/>
      <c r="B41" s="108" t="s">
        <v>25</v>
      </c>
      <c r="C41" s="231">
        <v>-5323.6626697754909</v>
      </c>
      <c r="D41" s="232">
        <v>-5450.4165428653796</v>
      </c>
      <c r="E41" s="232">
        <v>-5323.6626697754909</v>
      </c>
      <c r="F41" s="232">
        <v>-6591.2014006744139</v>
      </c>
      <c r="G41" s="232">
        <v>-6591.2014006744139</v>
      </c>
      <c r="H41" s="232">
        <v>-7098.2168930339685</v>
      </c>
      <c r="I41" s="232">
        <v>-7351.7246392137749</v>
      </c>
      <c r="J41" s="232">
        <v>-7605.2323853935522</v>
      </c>
      <c r="K41" s="232">
        <v>-7351.7246392137749</v>
      </c>
      <c r="L41" s="232">
        <v>-7098.2168930339685</v>
      </c>
      <c r="M41" s="232">
        <v>-7478.4785123036709</v>
      </c>
      <c r="N41" s="232">
        <v>-7351.7246392137749</v>
      </c>
      <c r="O41" s="233">
        <v>-80615.463285171674</v>
      </c>
    </row>
    <row r="42" spans="1:15" x14ac:dyDescent="0.2">
      <c r="A42" s="228"/>
      <c r="B42" s="108" t="s">
        <v>26</v>
      </c>
      <c r="C42" s="231">
        <v>-290.7097687781843</v>
      </c>
      <c r="D42" s="232">
        <v>-297.63142993956967</v>
      </c>
      <c r="E42" s="232">
        <v>-290.7097687781843</v>
      </c>
      <c r="F42" s="232">
        <v>-359.92638039203769</v>
      </c>
      <c r="G42" s="232">
        <v>-359.92638039203769</v>
      </c>
      <c r="H42" s="232">
        <v>-387.61302503757906</v>
      </c>
      <c r="I42" s="232">
        <v>-401.45634736034975</v>
      </c>
      <c r="J42" s="232">
        <v>-415.29966968312038</v>
      </c>
      <c r="K42" s="232">
        <v>-401.45634736034975</v>
      </c>
      <c r="L42" s="232">
        <v>-387.61302503757906</v>
      </c>
      <c r="M42" s="232">
        <v>-408.37800852173513</v>
      </c>
      <c r="N42" s="232">
        <v>-401.45634736034975</v>
      </c>
      <c r="O42" s="233">
        <v>-4402.1764986410763</v>
      </c>
    </row>
    <row r="43" spans="1:15" x14ac:dyDescent="0.2">
      <c r="A43" s="228"/>
      <c r="B43" s="108" t="s">
        <v>27</v>
      </c>
      <c r="C43" s="231">
        <v>-5614.3724385536752</v>
      </c>
      <c r="D43" s="232">
        <v>-5748.0479728049495</v>
      </c>
      <c r="E43" s="232">
        <v>-5614.3724385536752</v>
      </c>
      <c r="F43" s="232">
        <v>-6951.1277810664515</v>
      </c>
      <c r="G43" s="232">
        <v>-6951.1277810664515</v>
      </c>
      <c r="H43" s="232">
        <v>-7485.8299180715476</v>
      </c>
      <c r="I43" s="232">
        <v>-7753.1809865741243</v>
      </c>
      <c r="J43" s="232">
        <v>-8020.5320550766728</v>
      </c>
      <c r="K43" s="232">
        <v>-7753.1809865741243</v>
      </c>
      <c r="L43" s="232">
        <v>-7485.8299180715476</v>
      </c>
      <c r="M43" s="232">
        <v>-7886.8565208254058</v>
      </c>
      <c r="N43" s="232">
        <v>-7753.1809865741243</v>
      </c>
      <c r="O43" s="233">
        <v>-85017.63978381273</v>
      </c>
    </row>
    <row r="44" spans="1:15" x14ac:dyDescent="0.2">
      <c r="A44" s="228"/>
      <c r="B44" s="108" t="s">
        <v>51</v>
      </c>
      <c r="C44" s="109">
        <v>58529.16653380874</v>
      </c>
      <c r="D44" s="97">
        <v>59922.718117947043</v>
      </c>
      <c r="E44" s="97">
        <v>58529.16653380874</v>
      </c>
      <c r="F44" s="97">
        <v>72464.682375191769</v>
      </c>
      <c r="G44" s="97">
        <v>72464.682375191769</v>
      </c>
      <c r="H44" s="97">
        <v>78038.888711744978</v>
      </c>
      <c r="I44" s="97">
        <v>80825.991880021596</v>
      </c>
      <c r="J44" s="97">
        <v>83613.095048298201</v>
      </c>
      <c r="K44" s="97">
        <v>80825.991880021596</v>
      </c>
      <c r="L44" s="97">
        <v>78038.888711744978</v>
      </c>
      <c r="M44" s="97">
        <v>82219.543464159899</v>
      </c>
      <c r="N44" s="97">
        <v>80825.991880021596</v>
      </c>
      <c r="O44" s="110">
        <v>886298.80751196109</v>
      </c>
    </row>
    <row r="45" spans="1:15" x14ac:dyDescent="0.2">
      <c r="A45" s="228"/>
      <c r="B45" s="108" t="s">
        <v>91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">
      <c r="A46" s="228"/>
      <c r="B46" s="108" t="s">
        <v>93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">
      <c r="A47" s="98" t="s">
        <v>8</v>
      </c>
      <c r="B47" s="98" t="s">
        <v>72</v>
      </c>
      <c r="C47" s="105">
        <v>116545.38941645379</v>
      </c>
      <c r="D47" s="106">
        <v>111478.19857226015</v>
      </c>
      <c r="E47" s="106">
        <v>89942.63748443716</v>
      </c>
      <c r="F47" s="106">
        <v>96276.62603967922</v>
      </c>
      <c r="G47" s="106">
        <v>169750.89328048704</v>
      </c>
      <c r="H47" s="106">
        <v>183685.66810201955</v>
      </c>
      <c r="I47" s="106">
        <v>203954.43147879414</v>
      </c>
      <c r="J47" s="106">
        <v>195086.84750145525</v>
      </c>
      <c r="K47" s="106">
        <v>167217.29785839023</v>
      </c>
      <c r="L47" s="106">
        <v>115278.59170540537</v>
      </c>
      <c r="M47" s="106">
        <v>84875.446640243521</v>
      </c>
      <c r="N47" s="106">
        <v>121612.58026064743</v>
      </c>
      <c r="O47" s="107">
        <v>1655704.6083402729</v>
      </c>
    </row>
    <row r="48" spans="1:15" x14ac:dyDescent="0.2">
      <c r="A48" s="228"/>
      <c r="B48" s="108" t="s">
        <v>25</v>
      </c>
      <c r="C48" s="231">
        <v>-11661.356324270106</v>
      </c>
      <c r="D48" s="232">
        <v>-11154.340831910537</v>
      </c>
      <c r="E48" s="232">
        <v>-8999.5249893823784</v>
      </c>
      <c r="F48" s="232">
        <v>-9633.294354831829</v>
      </c>
      <c r="G48" s="232">
        <v>-16985.018994045589</v>
      </c>
      <c r="H48" s="232">
        <v>-18379.31159803443</v>
      </c>
      <c r="I48" s="232">
        <v>-20407.373567472678</v>
      </c>
      <c r="J48" s="232">
        <v>-19520.09645584345</v>
      </c>
      <c r="K48" s="232">
        <v>-16731.511247865797</v>
      </c>
      <c r="L48" s="232">
        <v>-11534.602451180224</v>
      </c>
      <c r="M48" s="232">
        <v>-8492.5094970227947</v>
      </c>
      <c r="N48" s="232">
        <v>-12168.371816629689</v>
      </c>
      <c r="O48" s="233">
        <v>-165667.31212848952</v>
      </c>
    </row>
    <row r="49" spans="1:15" x14ac:dyDescent="0.2">
      <c r="A49" s="228"/>
      <c r="B49" s="108" t="s">
        <v>26</v>
      </c>
      <c r="C49" s="231">
        <v>-636.79282684745135</v>
      </c>
      <c r="D49" s="232">
        <v>-609.10618220190997</v>
      </c>
      <c r="E49" s="232">
        <v>-491.4379424583592</v>
      </c>
      <c r="F49" s="232">
        <v>-526.04624826528595</v>
      </c>
      <c r="G49" s="232">
        <v>-927.50259562563565</v>
      </c>
      <c r="H49" s="232">
        <v>-1003.6408684008744</v>
      </c>
      <c r="I49" s="232">
        <v>-1114.3874469830398</v>
      </c>
      <c r="J49" s="232">
        <v>-1065.9358188533424</v>
      </c>
      <c r="K49" s="232">
        <v>-913.65927330286502</v>
      </c>
      <c r="L49" s="232">
        <v>-629.87116568606598</v>
      </c>
      <c r="M49" s="232">
        <v>-463.75129781281782</v>
      </c>
      <c r="N49" s="232">
        <v>-664.47947149299273</v>
      </c>
      <c r="O49" s="233">
        <v>-9046.6111379306385</v>
      </c>
    </row>
    <row r="50" spans="1:15" x14ac:dyDescent="0.2">
      <c r="A50" s="228"/>
      <c r="B50" s="108" t="s">
        <v>27</v>
      </c>
      <c r="C50" s="231">
        <v>-12298.149151117557</v>
      </c>
      <c r="D50" s="232">
        <v>-11763.447014112446</v>
      </c>
      <c r="E50" s="232">
        <v>-9490.9629318407369</v>
      </c>
      <c r="F50" s="232">
        <v>-10159.340603097115</v>
      </c>
      <c r="G50" s="232">
        <v>-17912.521589671225</v>
      </c>
      <c r="H50" s="232">
        <v>-19382.952466435305</v>
      </c>
      <c r="I50" s="232">
        <v>-21521.761014455718</v>
      </c>
      <c r="J50" s="232">
        <v>-20586.032274696794</v>
      </c>
      <c r="K50" s="232">
        <v>-17645.170521168664</v>
      </c>
      <c r="L50" s="232">
        <v>-12164.473616866289</v>
      </c>
      <c r="M50" s="232">
        <v>-8956.2607948356126</v>
      </c>
      <c r="N50" s="232">
        <v>-12832.851288122682</v>
      </c>
      <c r="O50" s="233">
        <v>-174713.92326642014</v>
      </c>
    </row>
    <row r="51" spans="1:15" x14ac:dyDescent="0.2">
      <c r="A51" s="228"/>
      <c r="B51" s="108" t="s">
        <v>51</v>
      </c>
      <c r="C51" s="109">
        <v>128206.7457407239</v>
      </c>
      <c r="D51" s="97">
        <v>122632.53940417069</v>
      </c>
      <c r="E51" s="97">
        <v>98942.162473819539</v>
      </c>
      <c r="F51" s="97">
        <v>105909.92039451105</v>
      </c>
      <c r="G51" s="97">
        <v>186735.91227453263</v>
      </c>
      <c r="H51" s="97">
        <v>202064.97970005398</v>
      </c>
      <c r="I51" s="97">
        <v>224361.80504626682</v>
      </c>
      <c r="J51" s="97">
        <v>214606.9439572987</v>
      </c>
      <c r="K51" s="97">
        <v>183948.80910625603</v>
      </c>
      <c r="L51" s="97">
        <v>126813.1941565856</v>
      </c>
      <c r="M51" s="97">
        <v>93367.956137266316</v>
      </c>
      <c r="N51" s="97">
        <v>133780.95207727712</v>
      </c>
      <c r="O51" s="110">
        <v>1821371.9204687625</v>
      </c>
    </row>
    <row r="52" spans="1:15" x14ac:dyDescent="0.2">
      <c r="A52" s="228"/>
      <c r="B52" s="108" t="s">
        <v>91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">
      <c r="A53" s="228"/>
      <c r="B53" s="108" t="s">
        <v>93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">
      <c r="A54" s="98" t="s">
        <v>21</v>
      </c>
      <c r="B54" s="98" t="s">
        <v>72</v>
      </c>
      <c r="C54" s="105">
        <v>3672446.5643293429</v>
      </c>
      <c r="D54" s="106">
        <v>3495094.8847825653</v>
      </c>
      <c r="E54" s="106">
        <v>3103654.3920686063</v>
      </c>
      <c r="F54" s="106">
        <v>3033980.5179609437</v>
      </c>
      <c r="G54" s="106">
        <v>4410989.6298705665</v>
      </c>
      <c r="H54" s="106">
        <v>5074791.6304599335</v>
      </c>
      <c r="I54" s="106">
        <v>5358554.317734777</v>
      </c>
      <c r="J54" s="106">
        <v>5258477.298561953</v>
      </c>
      <c r="K54" s="106">
        <v>4937977.4776667049</v>
      </c>
      <c r="L54" s="106">
        <v>3496361.6824936136</v>
      </c>
      <c r="M54" s="106">
        <v>3244268.9379949798</v>
      </c>
      <c r="N54" s="106">
        <v>3990412.789802494</v>
      </c>
      <c r="O54" s="107">
        <v>49077010.12372648</v>
      </c>
    </row>
    <row r="55" spans="1:15" x14ac:dyDescent="0.2">
      <c r="A55" s="228"/>
      <c r="B55" s="108" t="s">
        <v>25</v>
      </c>
      <c r="C55" s="231">
        <v>-367459.47808759846</v>
      </c>
      <c r="D55" s="232">
        <v>-349713.93585501332</v>
      </c>
      <c r="E55" s="232">
        <v>-310546.98907023668</v>
      </c>
      <c r="F55" s="232">
        <v>-303575.52605029242</v>
      </c>
      <c r="G55" s="232">
        <v>-441356.98609900568</v>
      </c>
      <c r="H55" s="232">
        <v>-507776.01559810899</v>
      </c>
      <c r="I55" s="232">
        <v>-536168.88317024615</v>
      </c>
      <c r="J55" s="232">
        <v>-526155.32719614357</v>
      </c>
      <c r="K55" s="232">
        <v>-494086.59730440099</v>
      </c>
      <c r="L55" s="232">
        <v>-349840.68972810358</v>
      </c>
      <c r="M55" s="232">
        <v>-324616.668983215</v>
      </c>
      <c r="N55" s="232">
        <v>-399274.70023316098</v>
      </c>
      <c r="O55" s="233">
        <v>-4910571.7973755263</v>
      </c>
    </row>
    <row r="56" spans="1:15" x14ac:dyDescent="0.2">
      <c r="A56" s="228"/>
      <c r="B56" s="108" t="s">
        <v>26</v>
      </c>
      <c r="C56" s="231">
        <v>-20065.895706856103</v>
      </c>
      <c r="D56" s="232">
        <v>-19096.863144262155</v>
      </c>
      <c r="E56" s="232">
        <v>-16958.069845394086</v>
      </c>
      <c r="F56" s="232">
        <v>-16577.378481517891</v>
      </c>
      <c r="G56" s="232">
        <v>-24101.22416394376</v>
      </c>
      <c r="H56" s="232">
        <v>-27728.174612509676</v>
      </c>
      <c r="I56" s="232">
        <v>-29278.626712659992</v>
      </c>
      <c r="J56" s="232">
        <v>-28731.815480910547</v>
      </c>
      <c r="K56" s="232">
        <v>-26980.63520708006</v>
      </c>
      <c r="L56" s="232">
        <v>-19103.78480542354</v>
      </c>
      <c r="M56" s="232">
        <v>-17726.374234307856</v>
      </c>
      <c r="N56" s="232">
        <v>-21803.232658363824</v>
      </c>
      <c r="O56" s="233">
        <v>-268152.07505322952</v>
      </c>
    </row>
    <row r="57" spans="1:15" x14ac:dyDescent="0.2">
      <c r="A57" s="228"/>
      <c r="B57" s="108" t="s">
        <v>27</v>
      </c>
      <c r="C57" s="231">
        <v>-387525.37379445456</v>
      </c>
      <c r="D57" s="232">
        <v>-368810.79899927549</v>
      </c>
      <c r="E57" s="232">
        <v>-327505.0589156308</v>
      </c>
      <c r="F57" s="232">
        <v>-320152.90453181032</v>
      </c>
      <c r="G57" s="232">
        <v>-465458.21026294946</v>
      </c>
      <c r="H57" s="232">
        <v>-535504.19021061866</v>
      </c>
      <c r="I57" s="232">
        <v>-565447.5098829061</v>
      </c>
      <c r="J57" s="232">
        <v>-554887.14267705416</v>
      </c>
      <c r="K57" s="232">
        <v>-521067.23251148104</v>
      </c>
      <c r="L57" s="232">
        <v>-368944.4745335271</v>
      </c>
      <c r="M57" s="232">
        <v>-342343.04321752285</v>
      </c>
      <c r="N57" s="232">
        <v>-421077.9328915248</v>
      </c>
      <c r="O57" s="233">
        <v>-5178723.8724287553</v>
      </c>
    </row>
    <row r="58" spans="1:15" x14ac:dyDescent="0.2">
      <c r="A58" s="228"/>
      <c r="B58" s="108" t="s">
        <v>51</v>
      </c>
      <c r="C58" s="109">
        <v>4039906.0424169414</v>
      </c>
      <c r="D58" s="97">
        <v>3844808.8206375786</v>
      </c>
      <c r="E58" s="97">
        <v>3414201.381138843</v>
      </c>
      <c r="F58" s="97">
        <v>3337556.0440112362</v>
      </c>
      <c r="G58" s="97">
        <v>4852346.6159695722</v>
      </c>
      <c r="H58" s="97">
        <v>5582567.6460580425</v>
      </c>
      <c r="I58" s="97">
        <v>5894723.2009050231</v>
      </c>
      <c r="J58" s="97">
        <v>5784632.6257580966</v>
      </c>
      <c r="K58" s="97">
        <v>5432064.0749711059</v>
      </c>
      <c r="L58" s="97">
        <v>3846202.3722217171</v>
      </c>
      <c r="M58" s="97">
        <v>3568885.6069781948</v>
      </c>
      <c r="N58" s="97">
        <v>4389687.490035655</v>
      </c>
      <c r="O58" s="110">
        <v>53987581.921101995</v>
      </c>
    </row>
    <row r="59" spans="1:15" x14ac:dyDescent="0.2">
      <c r="A59" s="228"/>
      <c r="B59" s="108" t="s">
        <v>91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">
      <c r="A60" s="228"/>
      <c r="B60" s="108" t="s">
        <v>93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">
      <c r="A61" s="98" t="s">
        <v>22</v>
      </c>
      <c r="B61" s="98" t="s">
        <v>72</v>
      </c>
      <c r="C61" s="105">
        <v>3700316.1139724078</v>
      </c>
      <c r="D61" s="106">
        <v>3614173.8696211157</v>
      </c>
      <c r="E61" s="106">
        <v>3243002.1402839315</v>
      </c>
      <c r="F61" s="106">
        <v>3083385.6286918316</v>
      </c>
      <c r="G61" s="106">
        <v>3948608.4653378963</v>
      </c>
      <c r="H61" s="106">
        <v>4479396.7062671809</v>
      </c>
      <c r="I61" s="106">
        <v>4682084.3400349263</v>
      </c>
      <c r="J61" s="106">
        <v>4601009.2865278274</v>
      </c>
      <c r="K61" s="106">
        <v>4227303.9617685471</v>
      </c>
      <c r="L61" s="106">
        <v>3161927.086776833</v>
      </c>
      <c r="M61" s="106">
        <v>3189796.6364198984</v>
      </c>
      <c r="N61" s="106">
        <v>4305845.4198535485</v>
      </c>
      <c r="O61" s="107">
        <v>46236849.655555941</v>
      </c>
    </row>
    <row r="62" spans="1:15" x14ac:dyDescent="0.2">
      <c r="A62" s="228"/>
      <c r="B62" s="108" t="s">
        <v>25</v>
      </c>
      <c r="C62" s="231">
        <v>-370248.06329557626</v>
      </c>
      <c r="D62" s="232">
        <v>-361628.79992546327</v>
      </c>
      <c r="E62" s="232">
        <v>-324489.91511012474</v>
      </c>
      <c r="F62" s="232">
        <v>-308518.92710079858</v>
      </c>
      <c r="G62" s="232">
        <v>-395091.82242119545</v>
      </c>
      <c r="H62" s="232">
        <v>-448201.69524585921</v>
      </c>
      <c r="I62" s="232">
        <v>-468482.31494024303</v>
      </c>
      <c r="J62" s="232">
        <v>-460370.06706248969</v>
      </c>
      <c r="K62" s="232">
        <v>-422977.6745009711</v>
      </c>
      <c r="L62" s="232">
        <v>-316377.66723237187</v>
      </c>
      <c r="M62" s="232">
        <v>-319166.2524403492</v>
      </c>
      <c r="N62" s="232">
        <v>-430836.41463254392</v>
      </c>
      <c r="O62" s="233">
        <v>-4626389.6139079863</v>
      </c>
    </row>
    <row r="63" spans="1:15" x14ac:dyDescent="0.2">
      <c r="A63" s="228"/>
      <c r="B63" s="108" t="s">
        <v>26</v>
      </c>
      <c r="C63" s="231">
        <v>-20218.172252406581</v>
      </c>
      <c r="D63" s="232">
        <v>-19747.499293432378</v>
      </c>
      <c r="E63" s="232">
        <v>-17719.452573146471</v>
      </c>
      <c r="F63" s="232">
        <v>-16847.32326681192</v>
      </c>
      <c r="G63" s="232">
        <v>-21574.817840038108</v>
      </c>
      <c r="H63" s="232">
        <v>-24474.993866658566</v>
      </c>
      <c r="I63" s="232">
        <v>-25582.459652480222</v>
      </c>
      <c r="J63" s="232">
        <v>-25139.473338151558</v>
      </c>
      <c r="K63" s="232">
        <v>-23097.583295542881</v>
      </c>
      <c r="L63" s="232">
        <v>-17276.466258817811</v>
      </c>
      <c r="M63" s="232">
        <v>-17428.742804368288</v>
      </c>
      <c r="N63" s="232">
        <v>-23526.726287548772</v>
      </c>
      <c r="O63" s="233">
        <v>-252633.7107294036</v>
      </c>
    </row>
    <row r="64" spans="1:15" x14ac:dyDescent="0.2">
      <c r="A64" s="228"/>
      <c r="B64" s="108" t="s">
        <v>27</v>
      </c>
      <c r="C64" s="231">
        <v>-390466.23554798285</v>
      </c>
      <c r="D64" s="232">
        <v>-381376.29921889567</v>
      </c>
      <c r="E64" s="232">
        <v>-342209.36768327124</v>
      </c>
      <c r="F64" s="232">
        <v>-325366.25036761048</v>
      </c>
      <c r="G64" s="232">
        <v>-416666.64026123355</v>
      </c>
      <c r="H64" s="232">
        <v>-472676.68911251775</v>
      </c>
      <c r="I64" s="232">
        <v>-494064.77459272323</v>
      </c>
      <c r="J64" s="232">
        <v>-485509.54040064127</v>
      </c>
      <c r="K64" s="232">
        <v>-446075.25779651396</v>
      </c>
      <c r="L64" s="232">
        <v>-333654.13349118968</v>
      </c>
      <c r="M64" s="232">
        <v>-336594.99524471746</v>
      </c>
      <c r="N64" s="232">
        <v>-454363.1409200927</v>
      </c>
      <c r="O64" s="233">
        <v>-4879023.3246373897</v>
      </c>
    </row>
    <row r="65" spans="1:15" x14ac:dyDescent="0.2">
      <c r="A65" s="228"/>
      <c r="B65" s="108" t="s">
        <v>51</v>
      </c>
      <c r="C65" s="109">
        <v>4070564.177267984</v>
      </c>
      <c r="D65" s="97">
        <v>3975802.669546579</v>
      </c>
      <c r="E65" s="97">
        <v>3567492.0553940563</v>
      </c>
      <c r="F65" s="97">
        <v>3391904.5557926302</v>
      </c>
      <c r="G65" s="97">
        <v>4343700.2877590917</v>
      </c>
      <c r="H65" s="97">
        <v>4927598.4015130401</v>
      </c>
      <c r="I65" s="97">
        <v>5150566.6549751693</v>
      </c>
      <c r="J65" s="97">
        <v>5061379.3535903171</v>
      </c>
      <c r="K65" s="97">
        <v>4650281.6362695182</v>
      </c>
      <c r="L65" s="97">
        <v>3478304.7540092049</v>
      </c>
      <c r="M65" s="97">
        <v>3508962.8888602476</v>
      </c>
      <c r="N65" s="97">
        <v>4736681.8344860924</v>
      </c>
      <c r="O65" s="110">
        <v>50863239.269463919</v>
      </c>
    </row>
    <row r="66" spans="1:15" x14ac:dyDescent="0.2">
      <c r="A66" s="228"/>
      <c r="B66" s="108" t="s">
        <v>91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">
      <c r="A67" s="228"/>
      <c r="B67" s="108" t="s">
        <v>93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">
      <c r="A68" s="98" t="s">
        <v>9</v>
      </c>
      <c r="B68" s="98" t="s">
        <v>72</v>
      </c>
      <c r="C68" s="105">
        <v>63339.885552420536</v>
      </c>
      <c r="D68" s="106">
        <v>62073.087841372129</v>
      </c>
      <c r="E68" s="106">
        <v>57005.896997178483</v>
      </c>
      <c r="F68" s="106">
        <v>43071.122175645964</v>
      </c>
      <c r="G68" s="106">
        <v>53205.50386403325</v>
      </c>
      <c r="H68" s="106">
        <v>62073.087841372129</v>
      </c>
      <c r="I68" s="106">
        <v>68407.076396614182</v>
      </c>
      <c r="J68" s="106">
        <v>59539.492419275302</v>
      </c>
      <c r="K68" s="106">
        <v>59539.492419275302</v>
      </c>
      <c r="L68" s="106">
        <v>49405.110730888016</v>
      </c>
      <c r="M68" s="106">
        <v>57005.896997178483</v>
      </c>
      <c r="N68" s="106">
        <v>77274.660373953055</v>
      </c>
      <c r="O68" s="107">
        <v>711940.3136092067</v>
      </c>
    </row>
    <row r="69" spans="1:15" x14ac:dyDescent="0.2">
      <c r="A69" s="228"/>
      <c r="B69" s="108" t="s">
        <v>25</v>
      </c>
      <c r="C69" s="231">
        <v>-6337.6936544946293</v>
      </c>
      <c r="D69" s="232">
        <v>-6210.9397814047334</v>
      </c>
      <c r="E69" s="232">
        <v>-5703.9242890451642</v>
      </c>
      <c r="F69" s="232">
        <v>-4309.6316850563453</v>
      </c>
      <c r="G69" s="232">
        <v>-5323.6626697754909</v>
      </c>
      <c r="H69" s="232">
        <v>-6210.9397814047334</v>
      </c>
      <c r="I69" s="232">
        <v>-6844.7091468541912</v>
      </c>
      <c r="J69" s="232">
        <v>-5957.4320352249488</v>
      </c>
      <c r="K69" s="232">
        <v>-5957.4320352249488</v>
      </c>
      <c r="L69" s="232">
        <v>-4943.4010505058104</v>
      </c>
      <c r="M69" s="232">
        <v>-5703.9242890451642</v>
      </c>
      <c r="N69" s="232">
        <v>-7731.9862584834482</v>
      </c>
      <c r="O69" s="233">
        <v>-71235.676676519608</v>
      </c>
    </row>
    <row r="70" spans="1:15" x14ac:dyDescent="0.2">
      <c r="A70" s="228"/>
      <c r="B70" s="108" t="s">
        <v>26</v>
      </c>
      <c r="C70" s="231">
        <v>-346.083058069267</v>
      </c>
      <c r="D70" s="232">
        <v>-339.16139690788168</v>
      </c>
      <c r="E70" s="232">
        <v>-311.47475226234036</v>
      </c>
      <c r="F70" s="232">
        <v>-235.3364794871016</v>
      </c>
      <c r="G70" s="232">
        <v>-290.7097687781843</v>
      </c>
      <c r="H70" s="232">
        <v>-339.16139690788168</v>
      </c>
      <c r="I70" s="232">
        <v>-373.76970271480843</v>
      </c>
      <c r="J70" s="232">
        <v>-325.31807458511105</v>
      </c>
      <c r="K70" s="232">
        <v>-325.31807458511105</v>
      </c>
      <c r="L70" s="232">
        <v>-269.94478529402829</v>
      </c>
      <c r="M70" s="232">
        <v>-311.47475226234036</v>
      </c>
      <c r="N70" s="232">
        <v>-422.22133084450576</v>
      </c>
      <c r="O70" s="233">
        <v>-3889.9735726985614</v>
      </c>
    </row>
    <row r="71" spans="1:15" x14ac:dyDescent="0.2">
      <c r="A71" s="228"/>
      <c r="B71" s="108" t="s">
        <v>27</v>
      </c>
      <c r="C71" s="231">
        <v>-6683.7767125638966</v>
      </c>
      <c r="D71" s="232">
        <v>-6550.101178312615</v>
      </c>
      <c r="E71" s="232">
        <v>-6015.3990413075044</v>
      </c>
      <c r="F71" s="232">
        <v>-4544.9681645434466</v>
      </c>
      <c r="G71" s="232">
        <v>-5614.3724385536752</v>
      </c>
      <c r="H71" s="232">
        <v>-6550.101178312615</v>
      </c>
      <c r="I71" s="232">
        <v>-7218.478849569</v>
      </c>
      <c r="J71" s="232">
        <v>-6282.7501098100602</v>
      </c>
      <c r="K71" s="232">
        <v>-6282.7501098100602</v>
      </c>
      <c r="L71" s="232">
        <v>-5213.3458357998388</v>
      </c>
      <c r="M71" s="232">
        <v>-6015.3990413075044</v>
      </c>
      <c r="N71" s="232">
        <v>-8154.2075893279543</v>
      </c>
      <c r="O71" s="233">
        <v>-75125.650249218175</v>
      </c>
    </row>
    <row r="72" spans="1:15" x14ac:dyDescent="0.2">
      <c r="A72" s="228"/>
      <c r="B72" s="108" t="s">
        <v>51</v>
      </c>
      <c r="C72" s="109">
        <v>69677.579206915165</v>
      </c>
      <c r="D72" s="97">
        <v>68284.027622776863</v>
      </c>
      <c r="E72" s="97">
        <v>62709.821286223647</v>
      </c>
      <c r="F72" s="97">
        <v>47380.753860702309</v>
      </c>
      <c r="G72" s="97">
        <v>58529.16653380874</v>
      </c>
      <c r="H72" s="97">
        <v>68284.027622776863</v>
      </c>
      <c r="I72" s="97">
        <v>75251.785543468373</v>
      </c>
      <c r="J72" s="97">
        <v>65496.924454500251</v>
      </c>
      <c r="K72" s="97">
        <v>65496.924454500251</v>
      </c>
      <c r="L72" s="97">
        <v>54348.511781393827</v>
      </c>
      <c r="M72" s="97">
        <v>62709.821286223647</v>
      </c>
      <c r="N72" s="97">
        <v>85006.646632436503</v>
      </c>
      <c r="O72" s="110">
        <v>783175.99028572638</v>
      </c>
    </row>
    <row r="73" spans="1:15" x14ac:dyDescent="0.2">
      <c r="A73" s="228"/>
      <c r="B73" s="108" t="s">
        <v>91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">
      <c r="A74" s="228"/>
      <c r="B74" s="108" t="s">
        <v>93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">
      <c r="A75" s="98" t="s">
        <v>56</v>
      </c>
      <c r="B75" s="98" t="s">
        <v>72</v>
      </c>
      <c r="C75" s="105">
        <v>153282.52303685769</v>
      </c>
      <c r="D75" s="106">
        <v>138080.95050427679</v>
      </c>
      <c r="E75" s="106">
        <v>120345.78254959903</v>
      </c>
      <c r="F75" s="106">
        <v>117812.1871275022</v>
      </c>
      <c r="G75" s="106">
        <v>158349.71388105134</v>
      </c>
      <c r="H75" s="106">
        <v>201420.8360566973</v>
      </c>
      <c r="I75" s="106">
        <v>222956.39714452031</v>
      </c>
      <c r="J75" s="106">
        <v>211555.21774508461</v>
      </c>
      <c r="K75" s="106">
        <v>193820.04979040683</v>
      </c>
      <c r="L75" s="106">
        <v>131746.96194903471</v>
      </c>
      <c r="M75" s="106">
        <v>131746.96194903471</v>
      </c>
      <c r="N75" s="106">
        <v>176084.88183572909</v>
      </c>
      <c r="O75" s="107">
        <v>1957202.4635697945</v>
      </c>
    </row>
    <row r="76" spans="1:15" x14ac:dyDescent="0.2">
      <c r="A76" s="228"/>
      <c r="B76" s="108" t="s">
        <v>25</v>
      </c>
      <c r="C76" s="109">
        <v>-15337.218643877015</v>
      </c>
      <c r="D76" s="97">
        <v>-13816.172166798264</v>
      </c>
      <c r="E76" s="97">
        <v>-12041.617943539793</v>
      </c>
      <c r="F76" s="97">
        <v>-11788.110197360002</v>
      </c>
      <c r="G76" s="97">
        <v>-15844.23413623657</v>
      </c>
      <c r="H76" s="97">
        <v>-20153.865821292915</v>
      </c>
      <c r="I76" s="97">
        <v>-22308.681663821073</v>
      </c>
      <c r="J76" s="97">
        <v>-21167.896806012053</v>
      </c>
      <c r="K76" s="97">
        <v>-19393.342582753568</v>
      </c>
      <c r="L76" s="97">
        <v>-13182.402801348828</v>
      </c>
      <c r="M76" s="97">
        <v>-13182.402801348828</v>
      </c>
      <c r="N76" s="97">
        <v>-17618.788359495054</v>
      </c>
      <c r="O76" s="110">
        <v>-195834.73392388396</v>
      </c>
    </row>
    <row r="77" spans="1:15" x14ac:dyDescent="0.2">
      <c r="A77" s="228"/>
      <c r="B77" s="108" t="s">
        <v>26</v>
      </c>
      <c r="C77" s="109">
        <v>-837.52100052762626</v>
      </c>
      <c r="D77" s="97">
        <v>-754.46106659100212</v>
      </c>
      <c r="E77" s="97">
        <v>-657.55781033160736</v>
      </c>
      <c r="F77" s="97">
        <v>-643.71448800883672</v>
      </c>
      <c r="G77" s="97">
        <v>-865.20764517316752</v>
      </c>
      <c r="H77" s="97">
        <v>-1100.5441246602693</v>
      </c>
      <c r="I77" s="97">
        <v>-1218.2123644038199</v>
      </c>
      <c r="J77" s="97">
        <v>-1155.917413951352</v>
      </c>
      <c r="K77" s="97">
        <v>-1059.0141576919571</v>
      </c>
      <c r="L77" s="97">
        <v>-719.85276078407537</v>
      </c>
      <c r="M77" s="97">
        <v>-719.85276078407537</v>
      </c>
      <c r="N77" s="97">
        <v>-962.1109014325624</v>
      </c>
      <c r="O77" s="110">
        <v>-10693.966494340353</v>
      </c>
    </row>
    <row r="78" spans="1:15" x14ac:dyDescent="0.2">
      <c r="A78" s="228"/>
      <c r="B78" s="108" t="s">
        <v>27</v>
      </c>
      <c r="C78" s="109">
        <v>-16174.739644404641</v>
      </c>
      <c r="D78" s="97">
        <v>-14570.633233389266</v>
      </c>
      <c r="E78" s="97">
        <v>-12699.175753871401</v>
      </c>
      <c r="F78" s="97">
        <v>-12431.824685368838</v>
      </c>
      <c r="G78" s="97">
        <v>-16709.441781409736</v>
      </c>
      <c r="H78" s="97">
        <v>-21254.409945953183</v>
      </c>
      <c r="I78" s="97">
        <v>-23526.894028224891</v>
      </c>
      <c r="J78" s="97">
        <v>-22323.814219963406</v>
      </c>
      <c r="K78" s="97">
        <v>-20452.356740445524</v>
      </c>
      <c r="L78" s="97">
        <v>-13902.255562132903</v>
      </c>
      <c r="M78" s="97">
        <v>-13902.255562132903</v>
      </c>
      <c r="N78" s="97">
        <v>-18580.899260927617</v>
      </c>
      <c r="O78" s="110">
        <v>-206528.70041822433</v>
      </c>
    </row>
    <row r="79" spans="1:15" x14ac:dyDescent="0.2">
      <c r="A79" s="228"/>
      <c r="B79" s="108" t="s">
        <v>51</v>
      </c>
      <c r="C79" s="109">
        <v>168619.7416807347</v>
      </c>
      <c r="D79" s="97">
        <v>151897.12267107505</v>
      </c>
      <c r="E79" s="97">
        <v>132387.40049313882</v>
      </c>
      <c r="F79" s="97">
        <v>129600.2973248622</v>
      </c>
      <c r="G79" s="97">
        <v>174193.94801728791</v>
      </c>
      <c r="H79" s="97">
        <v>221574.70187799021</v>
      </c>
      <c r="I79" s="97">
        <v>245265.07880834138</v>
      </c>
      <c r="J79" s="97">
        <v>232723.11455109666</v>
      </c>
      <c r="K79" s="97">
        <v>213213.3923731604</v>
      </c>
      <c r="L79" s="97">
        <v>144929.36475038354</v>
      </c>
      <c r="M79" s="97">
        <v>144929.36475038354</v>
      </c>
      <c r="N79" s="97">
        <v>193703.67019522414</v>
      </c>
      <c r="O79" s="110">
        <v>2153037.1974936784</v>
      </c>
    </row>
    <row r="80" spans="1:15" x14ac:dyDescent="0.2">
      <c r="A80" s="228"/>
      <c r="B80" s="108" t="s">
        <v>91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">
      <c r="A81" s="228"/>
      <c r="B81" s="108" t="s">
        <v>93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">
      <c r="A82" s="98" t="s">
        <v>57</v>
      </c>
      <c r="B82" s="98" t="s">
        <v>72</v>
      </c>
      <c r="C82" s="105">
        <v>10134.381688387286</v>
      </c>
      <c r="D82" s="106">
        <v>13934.774821532519</v>
      </c>
      <c r="E82" s="106">
        <v>11401.179399435696</v>
      </c>
      <c r="F82" s="106">
        <v>13934.774821532519</v>
      </c>
      <c r="G82" s="106">
        <v>13934.774821532519</v>
      </c>
      <c r="H82" s="106">
        <v>17735.167954677752</v>
      </c>
      <c r="I82" s="106">
        <v>16468.370243629339</v>
      </c>
      <c r="J82" s="106">
        <v>16468.370243629339</v>
      </c>
      <c r="K82" s="106">
        <v>16468.370243629339</v>
      </c>
      <c r="L82" s="106">
        <v>12667.977110484107</v>
      </c>
      <c r="M82" s="106">
        <v>11401.179399435696</v>
      </c>
      <c r="N82" s="106">
        <v>11401.179399435696</v>
      </c>
      <c r="O82" s="107">
        <v>165950.50014734181</v>
      </c>
    </row>
    <row r="83" spans="1:15" x14ac:dyDescent="0.2">
      <c r="A83" s="228"/>
      <c r="B83" s="108" t="s">
        <v>25</v>
      </c>
      <c r="C83" s="109">
        <v>-1014.0309847191402</v>
      </c>
      <c r="D83" s="97">
        <v>-1394.2926039888171</v>
      </c>
      <c r="E83" s="97">
        <v>-1140.7848578090343</v>
      </c>
      <c r="F83" s="97">
        <v>-1394.2926039888171</v>
      </c>
      <c r="G83" s="97">
        <v>-1394.2926039888171</v>
      </c>
      <c r="H83" s="97">
        <v>-1774.5542232584921</v>
      </c>
      <c r="I83" s="97">
        <v>-1647.8003501686035</v>
      </c>
      <c r="J83" s="97">
        <v>-1647.8003501686035</v>
      </c>
      <c r="K83" s="97">
        <v>-1647.8003501686035</v>
      </c>
      <c r="L83" s="97">
        <v>-1267.5387308989248</v>
      </c>
      <c r="M83" s="97">
        <v>-1140.7848578090343</v>
      </c>
      <c r="N83" s="97">
        <v>-1140.7848578090343</v>
      </c>
      <c r="O83" s="110">
        <v>-16604.757374775923</v>
      </c>
    </row>
    <row r="84" spans="1:15" x14ac:dyDescent="0.2">
      <c r="A84" s="228"/>
      <c r="B84" s="108" t="s">
        <v>26</v>
      </c>
      <c r="C84" s="109">
        <v>-55.373289291082727</v>
      </c>
      <c r="D84" s="97">
        <v>-76.138272775238747</v>
      </c>
      <c r="E84" s="97">
        <v>-62.294950452468072</v>
      </c>
      <c r="F84" s="97">
        <v>-76.138272775238747</v>
      </c>
      <c r="G84" s="97">
        <v>-76.138272775238747</v>
      </c>
      <c r="H84" s="97">
        <v>-96.903256259394766</v>
      </c>
      <c r="I84" s="97">
        <v>-89.981595098009421</v>
      </c>
      <c r="J84" s="97">
        <v>-89.981595098009421</v>
      </c>
      <c r="K84" s="97">
        <v>-89.981595098009421</v>
      </c>
      <c r="L84" s="97">
        <v>-69.216611613853402</v>
      </c>
      <c r="M84" s="97">
        <v>-62.294950452468072</v>
      </c>
      <c r="N84" s="97">
        <v>-62.294950452468072</v>
      </c>
      <c r="O84" s="110">
        <v>-906.73761214147953</v>
      </c>
    </row>
    <row r="85" spans="1:15" x14ac:dyDescent="0.2">
      <c r="A85" s="228"/>
      <c r="B85" s="108" t="s">
        <v>27</v>
      </c>
      <c r="C85" s="109">
        <v>-1069.4042740102229</v>
      </c>
      <c r="D85" s="97">
        <v>-1470.4308767640557</v>
      </c>
      <c r="E85" s="97">
        <v>-1203.0798082615024</v>
      </c>
      <c r="F85" s="97">
        <v>-1470.4308767640557</v>
      </c>
      <c r="G85" s="97">
        <v>-1470.4308767640557</v>
      </c>
      <c r="H85" s="97">
        <v>-1871.4574795178869</v>
      </c>
      <c r="I85" s="97">
        <v>-1737.7819452666129</v>
      </c>
      <c r="J85" s="97">
        <v>-1737.7819452666129</v>
      </c>
      <c r="K85" s="97">
        <v>-1737.7819452666129</v>
      </c>
      <c r="L85" s="97">
        <v>-1336.7553425127783</v>
      </c>
      <c r="M85" s="97">
        <v>-1203.0798082615024</v>
      </c>
      <c r="N85" s="97">
        <v>-1203.0798082615024</v>
      </c>
      <c r="O85" s="110">
        <v>-17511.494986917405</v>
      </c>
    </row>
    <row r="86" spans="1:15" x14ac:dyDescent="0.2">
      <c r="A86" s="228"/>
      <c r="B86" s="108" t="s">
        <v>51</v>
      </c>
      <c r="C86" s="109">
        <v>11148.412673106426</v>
      </c>
      <c r="D86" s="97">
        <v>15329.067425521336</v>
      </c>
      <c r="E86" s="97">
        <v>12541.96425724473</v>
      </c>
      <c r="F86" s="97">
        <v>15329.067425521336</v>
      </c>
      <c r="G86" s="97">
        <v>15329.067425521336</v>
      </c>
      <c r="H86" s="97">
        <v>19509.722177936244</v>
      </c>
      <c r="I86" s="97">
        <v>18116.170593797942</v>
      </c>
      <c r="J86" s="97">
        <v>18116.170593797942</v>
      </c>
      <c r="K86" s="97">
        <v>18116.170593797942</v>
      </c>
      <c r="L86" s="97">
        <v>13935.515841383032</v>
      </c>
      <c r="M86" s="97">
        <v>12541.96425724473</v>
      </c>
      <c r="N86" s="97">
        <v>12541.96425724473</v>
      </c>
      <c r="O86" s="110">
        <v>182555.2575221177</v>
      </c>
    </row>
    <row r="87" spans="1:15" x14ac:dyDescent="0.2">
      <c r="A87" s="228"/>
      <c r="B87" s="108" t="s">
        <v>91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">
      <c r="A88" s="228"/>
      <c r="B88" s="108" t="s">
        <v>93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">
      <c r="A89" s="98" t="s">
        <v>58</v>
      </c>
      <c r="B89" s="98" t="s">
        <v>72</v>
      </c>
      <c r="C89" s="105">
        <v>27869.549643065038</v>
      </c>
      <c r="D89" s="106">
        <v>27869.549643065038</v>
      </c>
      <c r="E89" s="106">
        <v>22802.358798871392</v>
      </c>
      <c r="F89" s="106">
        <v>26602.751932016625</v>
      </c>
      <c r="G89" s="106">
        <v>39270.72904250073</v>
      </c>
      <c r="H89" s="106">
        <v>48138.31301983961</v>
      </c>
      <c r="I89" s="106">
        <v>50671.90844193643</v>
      </c>
      <c r="J89" s="106">
        <v>48138.31301983961</v>
      </c>
      <c r="K89" s="106">
        <v>44337.919886694377</v>
      </c>
      <c r="L89" s="106">
        <v>29136.347354113448</v>
      </c>
      <c r="M89" s="106">
        <v>22802.358798871392</v>
      </c>
      <c r="N89" s="106">
        <v>34203.538198307091</v>
      </c>
      <c r="O89" s="107">
        <v>421843.63777912088</v>
      </c>
    </row>
    <row r="90" spans="1:15" x14ac:dyDescent="0.2">
      <c r="A90" s="228"/>
      <c r="B90" s="108" t="s">
        <v>25</v>
      </c>
      <c r="C90" s="109">
        <v>-2788.5852079776341</v>
      </c>
      <c r="D90" s="97">
        <v>-2788.5852079776341</v>
      </c>
      <c r="E90" s="97">
        <v>-2281.5697156180686</v>
      </c>
      <c r="F90" s="97">
        <v>-2661.8313348877455</v>
      </c>
      <c r="G90" s="97">
        <v>-3929.3700657866721</v>
      </c>
      <c r="H90" s="97">
        <v>-4816.6471774159145</v>
      </c>
      <c r="I90" s="97">
        <v>-5070.1549235956991</v>
      </c>
      <c r="J90" s="97">
        <v>-4816.6471774159145</v>
      </c>
      <c r="K90" s="97">
        <v>-4436.385558146234</v>
      </c>
      <c r="L90" s="97">
        <v>-2915.3390810675264</v>
      </c>
      <c r="M90" s="97">
        <v>-2281.5697156180686</v>
      </c>
      <c r="N90" s="97">
        <v>-3422.3545734270956</v>
      </c>
      <c r="O90" s="110">
        <v>-42209.039738934211</v>
      </c>
    </row>
    <row r="91" spans="1:15" x14ac:dyDescent="0.2">
      <c r="A91" s="228"/>
      <c r="B91" s="108" t="s">
        <v>26</v>
      </c>
      <c r="C91" s="109">
        <v>-152.27654555047749</v>
      </c>
      <c r="D91" s="97">
        <v>-152.27654555047749</v>
      </c>
      <c r="E91" s="97">
        <v>-124.58990090493614</v>
      </c>
      <c r="F91" s="97">
        <v>-145.35488438909215</v>
      </c>
      <c r="G91" s="97">
        <v>-214.57149600294557</v>
      </c>
      <c r="H91" s="97">
        <v>-263.02312413264298</v>
      </c>
      <c r="I91" s="97">
        <v>-276.86644645541361</v>
      </c>
      <c r="J91" s="97">
        <v>-263.02312413264298</v>
      </c>
      <c r="K91" s="97">
        <v>-242.25814064848691</v>
      </c>
      <c r="L91" s="97">
        <v>-159.19820671186284</v>
      </c>
      <c r="M91" s="97">
        <v>-124.58990090493614</v>
      </c>
      <c r="N91" s="97">
        <v>-186.88485135740422</v>
      </c>
      <c r="O91" s="110">
        <v>-2304.9131667413185</v>
      </c>
    </row>
    <row r="92" spans="1:15" x14ac:dyDescent="0.2">
      <c r="A92" s="228"/>
      <c r="B92" s="108" t="s">
        <v>27</v>
      </c>
      <c r="C92" s="109">
        <v>-2940.8617535281114</v>
      </c>
      <c r="D92" s="97">
        <v>-2940.8617535281114</v>
      </c>
      <c r="E92" s="97">
        <v>-2406.1596165230048</v>
      </c>
      <c r="F92" s="97">
        <v>-2807.1862192768376</v>
      </c>
      <c r="G92" s="97">
        <v>-4143.9415617896175</v>
      </c>
      <c r="H92" s="97">
        <v>-5079.6703015485573</v>
      </c>
      <c r="I92" s="97">
        <v>-5347.0213700511131</v>
      </c>
      <c r="J92" s="97">
        <v>-5079.6703015485573</v>
      </c>
      <c r="K92" s="97">
        <v>-4678.6436987947209</v>
      </c>
      <c r="L92" s="97">
        <v>-3074.5372877793893</v>
      </c>
      <c r="M92" s="97">
        <v>-2406.1596165230048</v>
      </c>
      <c r="N92" s="97">
        <v>-3609.2394247845</v>
      </c>
      <c r="O92" s="110">
        <v>-44513.952905675535</v>
      </c>
    </row>
    <row r="93" spans="1:15" x14ac:dyDescent="0.2">
      <c r="A93" s="228"/>
      <c r="B93" s="108" t="s">
        <v>51</v>
      </c>
      <c r="C93" s="109">
        <v>30658.134851042672</v>
      </c>
      <c r="D93" s="97">
        <v>30658.134851042672</v>
      </c>
      <c r="E93" s="97">
        <v>25083.92851448946</v>
      </c>
      <c r="F93" s="97">
        <v>29264.58326690437</v>
      </c>
      <c r="G93" s="97">
        <v>43200.099108287402</v>
      </c>
      <c r="H93" s="97">
        <v>52954.960197255525</v>
      </c>
      <c r="I93" s="97">
        <v>55742.063365532129</v>
      </c>
      <c r="J93" s="97">
        <v>52954.960197255525</v>
      </c>
      <c r="K93" s="97">
        <v>48774.305444840611</v>
      </c>
      <c r="L93" s="97">
        <v>32051.686435180975</v>
      </c>
      <c r="M93" s="97">
        <v>25083.92851448946</v>
      </c>
      <c r="N93" s="97">
        <v>37625.892771734187</v>
      </c>
      <c r="O93" s="110">
        <v>464052.67751805496</v>
      </c>
    </row>
    <row r="94" spans="1:15" x14ac:dyDescent="0.2">
      <c r="A94" s="228"/>
      <c r="B94" s="108" t="s">
        <v>91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">
      <c r="A95" s="228"/>
      <c r="B95" s="108" t="s">
        <v>93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">
      <c r="A96" s="98" t="s">
        <v>59</v>
      </c>
      <c r="B96" s="98" t="s">
        <v>72</v>
      </c>
      <c r="C96" s="105">
        <v>46871.515308791197</v>
      </c>
      <c r="D96" s="106">
        <v>46871.515308791197</v>
      </c>
      <c r="E96" s="106">
        <v>31669.942776210268</v>
      </c>
      <c r="F96" s="106">
        <v>39270.72904250073</v>
      </c>
      <c r="G96" s="106">
        <v>50671.90844193643</v>
      </c>
      <c r="H96" s="106">
        <v>60806.290130323716</v>
      </c>
      <c r="I96" s="106">
        <v>65873.480974517355</v>
      </c>
      <c r="J96" s="106">
        <v>63339.885552420536</v>
      </c>
      <c r="K96" s="106">
        <v>59539.492419275302</v>
      </c>
      <c r="L96" s="106">
        <v>44337.919886694377</v>
      </c>
      <c r="M96" s="106">
        <v>43071.122175645964</v>
      </c>
      <c r="N96" s="106">
        <v>43071.122175645964</v>
      </c>
      <c r="O96" s="107">
        <v>595394.92419275304</v>
      </c>
    </row>
    <row r="97" spans="1:15" x14ac:dyDescent="0.2">
      <c r="A97" s="228"/>
      <c r="B97" s="108" t="s">
        <v>25</v>
      </c>
      <c r="C97" s="109">
        <v>-4689.8933043260258</v>
      </c>
      <c r="D97" s="97">
        <v>-4689.8933043260258</v>
      </c>
      <c r="E97" s="97">
        <v>-3168.8468272473146</v>
      </c>
      <c r="F97" s="97">
        <v>-3929.3700657866721</v>
      </c>
      <c r="G97" s="97">
        <v>-5070.1549235956991</v>
      </c>
      <c r="H97" s="97">
        <v>-6084.1859083148447</v>
      </c>
      <c r="I97" s="97">
        <v>-6591.2014006744139</v>
      </c>
      <c r="J97" s="97">
        <v>-6337.6936544946293</v>
      </c>
      <c r="K97" s="97">
        <v>-5957.4320352249488</v>
      </c>
      <c r="L97" s="97">
        <v>-4436.385558146234</v>
      </c>
      <c r="M97" s="97">
        <v>-4309.6316850563453</v>
      </c>
      <c r="N97" s="97">
        <v>-4309.6316850563453</v>
      </c>
      <c r="O97" s="110">
        <v>-59574.320352249502</v>
      </c>
    </row>
    <row r="98" spans="1:15" x14ac:dyDescent="0.2">
      <c r="A98" s="228"/>
      <c r="B98" s="108" t="s">
        <v>26</v>
      </c>
      <c r="C98" s="109">
        <v>-256.1014629712576</v>
      </c>
      <c r="D98" s="97">
        <v>-256.1014629712576</v>
      </c>
      <c r="E98" s="97">
        <v>-173.0415290346335</v>
      </c>
      <c r="F98" s="97">
        <v>-214.57149600294557</v>
      </c>
      <c r="G98" s="97">
        <v>-276.86644645541361</v>
      </c>
      <c r="H98" s="97">
        <v>-332.23973574649636</v>
      </c>
      <c r="I98" s="97">
        <v>-359.92638039203769</v>
      </c>
      <c r="J98" s="97">
        <v>-346.083058069267</v>
      </c>
      <c r="K98" s="97">
        <v>-325.31807458511105</v>
      </c>
      <c r="L98" s="97">
        <v>-242.25814064848691</v>
      </c>
      <c r="M98" s="97">
        <v>-235.3364794871016</v>
      </c>
      <c r="N98" s="97">
        <v>-235.3364794871016</v>
      </c>
      <c r="O98" s="110">
        <v>-3253.1807458511103</v>
      </c>
    </row>
    <row r="99" spans="1:15" x14ac:dyDescent="0.2">
      <c r="A99" s="228"/>
      <c r="B99" s="108" t="s">
        <v>27</v>
      </c>
      <c r="C99" s="109">
        <v>-4945.994767297283</v>
      </c>
      <c r="D99" s="97">
        <v>-4945.994767297283</v>
      </c>
      <c r="E99" s="97">
        <v>-3341.8883562819483</v>
      </c>
      <c r="F99" s="97">
        <v>-4143.9415617896175</v>
      </c>
      <c r="G99" s="97">
        <v>-5347.0213700511131</v>
      </c>
      <c r="H99" s="97">
        <v>-6416.4256440613408</v>
      </c>
      <c r="I99" s="97">
        <v>-6951.1277810664515</v>
      </c>
      <c r="J99" s="97">
        <v>-6683.7767125638966</v>
      </c>
      <c r="K99" s="97">
        <v>-6282.7501098100602</v>
      </c>
      <c r="L99" s="97">
        <v>-4678.6436987947209</v>
      </c>
      <c r="M99" s="97">
        <v>-4544.9681645434466</v>
      </c>
      <c r="N99" s="97">
        <v>-4544.9681645434466</v>
      </c>
      <c r="O99" s="110">
        <v>-62827.50109810062</v>
      </c>
    </row>
    <row r="100" spans="1:15" x14ac:dyDescent="0.2">
      <c r="A100" s="228"/>
      <c r="B100" s="108" t="s">
        <v>51</v>
      </c>
      <c r="C100" s="109">
        <v>51561.408613117223</v>
      </c>
      <c r="D100" s="97">
        <v>51561.408613117223</v>
      </c>
      <c r="E100" s="97">
        <v>34838.789603457582</v>
      </c>
      <c r="F100" s="97">
        <v>43200.099108287402</v>
      </c>
      <c r="G100" s="97">
        <v>55742.063365532129</v>
      </c>
      <c r="H100" s="97">
        <v>66890.476038638561</v>
      </c>
      <c r="I100" s="97">
        <v>72464.682375191769</v>
      </c>
      <c r="J100" s="97">
        <v>69677.579206915165</v>
      </c>
      <c r="K100" s="97">
        <v>65496.924454500251</v>
      </c>
      <c r="L100" s="97">
        <v>48774.305444840611</v>
      </c>
      <c r="M100" s="97">
        <v>47380.753860702309</v>
      </c>
      <c r="N100" s="97">
        <v>47380.753860702309</v>
      </c>
      <c r="O100" s="110">
        <v>654969.24454500247</v>
      </c>
    </row>
    <row r="101" spans="1:15" x14ac:dyDescent="0.2">
      <c r="A101" s="228"/>
      <c r="B101" s="108" t="s">
        <v>91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">
      <c r="A102" s="228"/>
      <c r="B102" s="108" t="s">
        <v>93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">
      <c r="A103" s="98" t="s">
        <v>83</v>
      </c>
      <c r="B103" s="98" t="s">
        <v>72</v>
      </c>
      <c r="C103" s="105">
        <v>206488.02690089095</v>
      </c>
      <c r="D103" s="106">
        <v>196353.64521250367</v>
      </c>
      <c r="E103" s="106">
        <v>178618.47725782593</v>
      </c>
      <c r="F103" s="106">
        <v>116545.38941645379</v>
      </c>
      <c r="G103" s="106">
        <v>165950.50014734181</v>
      </c>
      <c r="H103" s="106">
        <v>192553.25207935844</v>
      </c>
      <c r="I103" s="106">
        <v>188752.85894621321</v>
      </c>
      <c r="J103" s="106">
        <v>173551.28641363228</v>
      </c>
      <c r="K103" s="106">
        <v>172284.48870258385</v>
      </c>
      <c r="L103" s="106">
        <v>115278.59170540537</v>
      </c>
      <c r="M103" s="106">
        <v>143148.14134847041</v>
      </c>
      <c r="N103" s="106">
        <v>266027.51932016626</v>
      </c>
      <c r="O103" s="107">
        <v>2115552.1774508464</v>
      </c>
    </row>
    <row r="104" spans="1:15" x14ac:dyDescent="0.2">
      <c r="A104" s="228"/>
      <c r="B104" s="108" t="s">
        <v>25</v>
      </c>
      <c r="C104" s="109">
        <v>-20660.88131365247</v>
      </c>
      <c r="D104" s="97">
        <v>-19646.850328933331</v>
      </c>
      <c r="E104" s="97">
        <v>-17872.296105674846</v>
      </c>
      <c r="F104" s="97">
        <v>-11661.356324270106</v>
      </c>
      <c r="G104" s="97">
        <v>-16604.757374775916</v>
      </c>
      <c r="H104" s="97">
        <v>-19266.588709663658</v>
      </c>
      <c r="I104" s="97">
        <v>-18886.327090393985</v>
      </c>
      <c r="J104" s="97">
        <v>-17365.280613315263</v>
      </c>
      <c r="K104" s="97">
        <v>-17238.526740225381</v>
      </c>
      <c r="L104" s="97">
        <v>-11534.602451180224</v>
      </c>
      <c r="M104" s="97">
        <v>-14323.187659157848</v>
      </c>
      <c r="N104" s="97">
        <v>-26618.313348877418</v>
      </c>
      <c r="O104" s="110">
        <v>-211678.96806012045</v>
      </c>
    </row>
    <row r="105" spans="1:15" x14ac:dyDescent="0.2">
      <c r="A105" s="228"/>
      <c r="B105" s="108" t="s">
        <v>26</v>
      </c>
      <c r="C105" s="109">
        <v>-1128.2307693058106</v>
      </c>
      <c r="D105" s="97">
        <v>-1072.8574800147278</v>
      </c>
      <c r="E105" s="97">
        <v>-975.95422375533315</v>
      </c>
      <c r="F105" s="97">
        <v>-636.79282684745135</v>
      </c>
      <c r="G105" s="97">
        <v>-906.73761214147964</v>
      </c>
      <c r="H105" s="97">
        <v>-1052.0924965305719</v>
      </c>
      <c r="I105" s="97">
        <v>-1031.3275130464158</v>
      </c>
      <c r="J105" s="97">
        <v>-948.26757910979165</v>
      </c>
      <c r="K105" s="97">
        <v>-941.3459179484064</v>
      </c>
      <c r="L105" s="97">
        <v>-629.87116568606598</v>
      </c>
      <c r="M105" s="97">
        <v>-782.1477112365435</v>
      </c>
      <c r="N105" s="97">
        <v>-1453.5488438909217</v>
      </c>
      <c r="O105" s="110">
        <v>-11559.17413951352</v>
      </c>
    </row>
    <row r="106" spans="1:15" x14ac:dyDescent="0.2">
      <c r="A106" s="228"/>
      <c r="B106" s="108" t="s">
        <v>27</v>
      </c>
      <c r="C106" s="109">
        <v>-21789.11208295828</v>
      </c>
      <c r="D106" s="97">
        <v>-20719.70780894806</v>
      </c>
      <c r="E106" s="97">
        <v>-18848.250329430179</v>
      </c>
      <c r="F106" s="97">
        <v>-12298.149151117557</v>
      </c>
      <c r="G106" s="97">
        <v>-17511.494986917394</v>
      </c>
      <c r="H106" s="97">
        <v>-20318.681206194229</v>
      </c>
      <c r="I106" s="97">
        <v>-19917.654603440402</v>
      </c>
      <c r="J106" s="97">
        <v>-18313.548192425053</v>
      </c>
      <c r="K106" s="97">
        <v>-18179.872658173786</v>
      </c>
      <c r="L106" s="97">
        <v>-12164.473616866289</v>
      </c>
      <c r="M106" s="97">
        <v>-15105.33537039439</v>
      </c>
      <c r="N106" s="97">
        <v>-28071.862192768342</v>
      </c>
      <c r="O106" s="110">
        <v>-223238.14219963396</v>
      </c>
    </row>
    <row r="107" spans="1:15" x14ac:dyDescent="0.2">
      <c r="A107" s="228"/>
      <c r="B107" s="108" t="s">
        <v>51</v>
      </c>
      <c r="C107" s="109">
        <v>227148.90821454342</v>
      </c>
      <c r="D107" s="97">
        <v>216000.49554143701</v>
      </c>
      <c r="E107" s="97">
        <v>196490.77336350078</v>
      </c>
      <c r="F107" s="97">
        <v>128206.7457407239</v>
      </c>
      <c r="G107" s="97">
        <v>182555.25752211772</v>
      </c>
      <c r="H107" s="97">
        <v>211819.8407890221</v>
      </c>
      <c r="I107" s="97">
        <v>207639.18603660719</v>
      </c>
      <c r="J107" s="97">
        <v>190916.56702694754</v>
      </c>
      <c r="K107" s="97">
        <v>189523.01544280924</v>
      </c>
      <c r="L107" s="97">
        <v>126813.1941565856</v>
      </c>
      <c r="M107" s="97">
        <v>157471.32900762826</v>
      </c>
      <c r="N107" s="97">
        <v>292645.83266904368</v>
      </c>
      <c r="O107" s="110">
        <v>2327231.1455109669</v>
      </c>
    </row>
    <row r="108" spans="1:15" x14ac:dyDescent="0.2">
      <c r="A108" s="228"/>
      <c r="B108" s="108" t="s">
        <v>91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">
      <c r="A109" s="228"/>
      <c r="B109" s="108" t="s">
        <v>93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">
      <c r="A110" s="98" t="s">
        <v>87</v>
      </c>
      <c r="B110" s="98" t="s">
        <v>72</v>
      </c>
      <c r="C110" s="105">
        <v>60806.290130323716</v>
      </c>
      <c r="D110" s="106">
        <v>57005.896997178483</v>
      </c>
      <c r="E110" s="106">
        <v>48138.31301983961</v>
      </c>
      <c r="F110" s="106">
        <v>32936.740487258678</v>
      </c>
      <c r="G110" s="106">
        <v>54472.301575081663</v>
      </c>
      <c r="H110" s="106">
        <v>68407.076396614182</v>
      </c>
      <c r="I110" s="106">
        <v>72207.469529759415</v>
      </c>
      <c r="J110" s="106">
        <v>68407.076396614182</v>
      </c>
      <c r="K110" s="106">
        <v>67140.278685565776</v>
      </c>
      <c r="L110" s="106">
        <v>39270.72904250073</v>
      </c>
      <c r="M110" s="106">
        <v>48138.31301983961</v>
      </c>
      <c r="N110" s="106">
        <v>73474.267240807822</v>
      </c>
      <c r="O110" s="107">
        <v>690404.75252138381</v>
      </c>
    </row>
    <row r="111" spans="1:15" x14ac:dyDescent="0.2">
      <c r="A111" s="228"/>
      <c r="B111" s="108" t="s">
        <v>25</v>
      </c>
      <c r="C111" s="109">
        <v>-6084.1859083148447</v>
      </c>
      <c r="D111" s="97">
        <v>-5703.9242890451642</v>
      </c>
      <c r="E111" s="97">
        <v>-4816.6471774159145</v>
      </c>
      <c r="F111" s="97">
        <v>-3295.6007003372069</v>
      </c>
      <c r="G111" s="97">
        <v>-5450.4165428653796</v>
      </c>
      <c r="H111" s="97">
        <v>-6844.7091468541912</v>
      </c>
      <c r="I111" s="97">
        <v>-7224.9707661238645</v>
      </c>
      <c r="J111" s="97">
        <v>-6844.7091468541912</v>
      </c>
      <c r="K111" s="97">
        <v>-6717.9552737642953</v>
      </c>
      <c r="L111" s="97">
        <v>-3929.3700657866721</v>
      </c>
      <c r="M111" s="97">
        <v>-4816.6471774159145</v>
      </c>
      <c r="N111" s="97">
        <v>-7351.7246392137749</v>
      </c>
      <c r="O111" s="110">
        <v>-69080.860833991406</v>
      </c>
    </row>
    <row r="112" spans="1:15" x14ac:dyDescent="0.2">
      <c r="A112" s="228"/>
      <c r="B112" s="108" t="s">
        <v>26</v>
      </c>
      <c r="C112" s="109">
        <v>-332.23973574649636</v>
      </c>
      <c r="D112" s="97">
        <v>-311.47475226234036</v>
      </c>
      <c r="E112" s="97">
        <v>-263.02312413264298</v>
      </c>
      <c r="F112" s="97">
        <v>-179.96319019601884</v>
      </c>
      <c r="G112" s="97">
        <v>-297.63142993956967</v>
      </c>
      <c r="H112" s="97">
        <v>-373.76970271480843</v>
      </c>
      <c r="I112" s="97">
        <v>-394.53468619896444</v>
      </c>
      <c r="J112" s="97">
        <v>-373.76970271480843</v>
      </c>
      <c r="K112" s="97">
        <v>-366.84804155342306</v>
      </c>
      <c r="L112" s="97">
        <v>-214.57149600294557</v>
      </c>
      <c r="M112" s="97">
        <v>-263.02312413264298</v>
      </c>
      <c r="N112" s="97">
        <v>-401.45634736034975</v>
      </c>
      <c r="O112" s="110">
        <v>-3772.3053329550103</v>
      </c>
    </row>
    <row r="113" spans="1:15" x14ac:dyDescent="0.2">
      <c r="A113" s="228"/>
      <c r="B113" s="108" t="s">
        <v>27</v>
      </c>
      <c r="C113" s="109">
        <v>-6416.4256440613408</v>
      </c>
      <c r="D113" s="97">
        <v>-6015.3990413075044</v>
      </c>
      <c r="E113" s="97">
        <v>-5079.6703015485573</v>
      </c>
      <c r="F113" s="97">
        <v>-3475.5638905332257</v>
      </c>
      <c r="G113" s="97">
        <v>-5748.0479728049495</v>
      </c>
      <c r="H113" s="97">
        <v>-7218.478849569</v>
      </c>
      <c r="I113" s="97">
        <v>-7619.5054523228291</v>
      </c>
      <c r="J113" s="97">
        <v>-7218.478849569</v>
      </c>
      <c r="K113" s="97">
        <v>-7084.8033153177184</v>
      </c>
      <c r="L113" s="97">
        <v>-4143.9415617896175</v>
      </c>
      <c r="M113" s="97">
        <v>-5079.6703015485573</v>
      </c>
      <c r="N113" s="97">
        <v>-7753.1809865741243</v>
      </c>
      <c r="O113" s="110">
        <v>-72853.166166946423</v>
      </c>
    </row>
    <row r="114" spans="1:15" x14ac:dyDescent="0.2">
      <c r="A114" s="228"/>
      <c r="B114" s="108" t="s">
        <v>51</v>
      </c>
      <c r="C114" s="109">
        <v>66890.476038638561</v>
      </c>
      <c r="D114" s="97">
        <v>62709.821286223647</v>
      </c>
      <c r="E114" s="97">
        <v>52954.960197255525</v>
      </c>
      <c r="F114" s="97">
        <v>36232.341187595885</v>
      </c>
      <c r="G114" s="97">
        <v>59922.718117947043</v>
      </c>
      <c r="H114" s="97">
        <v>75251.785543468373</v>
      </c>
      <c r="I114" s="97">
        <v>79432.44029588328</v>
      </c>
      <c r="J114" s="97">
        <v>75251.785543468373</v>
      </c>
      <c r="K114" s="97">
        <v>73858.233959330071</v>
      </c>
      <c r="L114" s="97">
        <v>43200.099108287402</v>
      </c>
      <c r="M114" s="97">
        <v>52954.960197255525</v>
      </c>
      <c r="N114" s="97">
        <v>80825.991880021596</v>
      </c>
      <c r="O114" s="110">
        <v>759485.61335537524</v>
      </c>
    </row>
    <row r="115" spans="1:15" x14ac:dyDescent="0.2">
      <c r="A115" s="228"/>
      <c r="B115" s="108" t="s">
        <v>91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">
      <c r="A116" s="228"/>
      <c r="B116" s="108" t="s">
        <v>93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">
      <c r="A117" s="98" t="s">
        <v>73</v>
      </c>
      <c r="B117" s="99"/>
      <c r="C117" s="105">
        <v>10714575.040047459</v>
      </c>
      <c r="D117" s="106">
        <v>10376340.051197534</v>
      </c>
      <c r="E117" s="106">
        <v>9217220.1455882359</v>
      </c>
      <c r="F117" s="106">
        <v>8183513.2133727344</v>
      </c>
      <c r="G117" s="106">
        <v>11188357.383979565</v>
      </c>
      <c r="H117" s="106">
        <v>13021413.671866614</v>
      </c>
      <c r="I117" s="106">
        <v>13639610.95485824</v>
      </c>
      <c r="J117" s="106">
        <v>13292508.382030973</v>
      </c>
      <c r="K117" s="106">
        <v>12342410.098744666</v>
      </c>
      <c r="L117" s="106">
        <v>8927123.469758153</v>
      </c>
      <c r="M117" s="106">
        <v>9138678.6875032336</v>
      </c>
      <c r="N117" s="106">
        <v>12559032.507333942</v>
      </c>
      <c r="O117" s="107">
        <v>132600783.60628134</v>
      </c>
    </row>
    <row r="118" spans="1:15" x14ac:dyDescent="0.2">
      <c r="A118" s="98" t="s">
        <v>28</v>
      </c>
      <c r="B118" s="99"/>
      <c r="C118" s="234">
        <v>-1072084.2585943108</v>
      </c>
      <c r="D118" s="235">
        <v>-1038240.9744793093</v>
      </c>
      <c r="E118" s="235">
        <v>-922261.18060205772</v>
      </c>
      <c r="F118" s="235">
        <v>-818830.02016070578</v>
      </c>
      <c r="G118" s="235">
        <v>-1119490.2071299313</v>
      </c>
      <c r="H118" s="235">
        <v>-1302903.061491004</v>
      </c>
      <c r="I118" s="235">
        <v>-1364758.9515588735</v>
      </c>
      <c r="J118" s="235">
        <v>-1330028.3903322425</v>
      </c>
      <c r="K118" s="235">
        <v>-1234962.9855148224</v>
      </c>
      <c r="L118" s="235">
        <v>-893234.54366447288</v>
      </c>
      <c r="M118" s="235">
        <v>-914402.44047048478</v>
      </c>
      <c r="N118" s="235">
        <v>-1256637.897813193</v>
      </c>
      <c r="O118" s="236">
        <v>-13267834.91181141</v>
      </c>
    </row>
    <row r="119" spans="1:15" x14ac:dyDescent="0.2">
      <c r="A119" s="98" t="s">
        <v>29</v>
      </c>
      <c r="B119" s="99"/>
      <c r="C119" s="234">
        <v>-58543.410102997208</v>
      </c>
      <c r="D119" s="235">
        <v>-56695.326572907317</v>
      </c>
      <c r="E119" s="235">
        <v>-50362.006610239747</v>
      </c>
      <c r="F119" s="235">
        <v>-44713.931102549293</v>
      </c>
      <c r="G119" s="235">
        <v>-61132.111377355337</v>
      </c>
      <c r="H119" s="235">
        <v>-71147.75507787992</v>
      </c>
      <c r="I119" s="235">
        <v>-74525.525724635969</v>
      </c>
      <c r="J119" s="235">
        <v>-72628.990566416382</v>
      </c>
      <c r="K119" s="235">
        <v>-67437.744695377376</v>
      </c>
      <c r="L119" s="235">
        <v>-48776.946204282503</v>
      </c>
      <c r="M119" s="235">
        <v>-49932.863618233845</v>
      </c>
      <c r="N119" s="235">
        <v>-68621.348753974264</v>
      </c>
      <c r="O119" s="236">
        <v>-724517.96040684928</v>
      </c>
    </row>
    <row r="120" spans="1:15" x14ac:dyDescent="0.2">
      <c r="A120" s="98" t="s">
        <v>30</v>
      </c>
      <c r="B120" s="99"/>
      <c r="C120" s="234">
        <v>-1130627.6686973083</v>
      </c>
      <c r="D120" s="235">
        <v>-1094936.3010522164</v>
      </c>
      <c r="E120" s="235">
        <v>-972623.18721229769</v>
      </c>
      <c r="F120" s="235">
        <v>-863543.95126325486</v>
      </c>
      <c r="G120" s="235">
        <v>-1180622.3185072867</v>
      </c>
      <c r="H120" s="235">
        <v>-1374050.8165688843</v>
      </c>
      <c r="I120" s="235">
        <v>-1439284.4772835097</v>
      </c>
      <c r="J120" s="235">
        <v>-1402657.3808986591</v>
      </c>
      <c r="K120" s="235">
        <v>-1302400.7302102</v>
      </c>
      <c r="L120" s="235">
        <v>-942011.48986875534</v>
      </c>
      <c r="M120" s="235">
        <v>-964335.30408871861</v>
      </c>
      <c r="N120" s="235">
        <v>-1325259.2465671673</v>
      </c>
      <c r="O120" s="236">
        <v>-13992352.872218259</v>
      </c>
    </row>
    <row r="121" spans="1:15" x14ac:dyDescent="0.2">
      <c r="A121" s="98" t="s">
        <v>63</v>
      </c>
      <c r="B121" s="99"/>
      <c r="C121" s="105">
        <v>11786659.298641767</v>
      </c>
      <c r="D121" s="106">
        <v>11414581.025676841</v>
      </c>
      <c r="E121" s="106">
        <v>10139481.326190295</v>
      </c>
      <c r="F121" s="106">
        <v>9002343.233533442</v>
      </c>
      <c r="G121" s="106">
        <v>12307847.591109496</v>
      </c>
      <c r="H121" s="106">
        <v>14324316.733357618</v>
      </c>
      <c r="I121" s="106">
        <v>15004369.906417113</v>
      </c>
      <c r="J121" s="106">
        <v>14622536.772363216</v>
      </c>
      <c r="K121" s="106">
        <v>13577373.08425949</v>
      </c>
      <c r="L121" s="106">
        <v>9820358.0134226251</v>
      </c>
      <c r="M121" s="106">
        <v>10053081.12797372</v>
      </c>
      <c r="N121" s="106">
        <v>13815670.405147139</v>
      </c>
      <c r="O121" s="107">
        <v>145868618.51809275</v>
      </c>
    </row>
    <row r="122" spans="1:15" x14ac:dyDescent="0.2">
      <c r="A122" s="98" t="s">
        <v>92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">
      <c r="A123" s="111" t="s">
        <v>94</v>
      </c>
      <c r="B123" s="229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">
      <c r="L125" s="237"/>
      <c r="O125" s="237"/>
    </row>
    <row r="126" spans="1:15" x14ac:dyDescent="0.2">
      <c r="L126" s="97"/>
      <c r="O126" s="97"/>
    </row>
  </sheetData>
  <phoneticPr fontId="6" type="noConversion"/>
  <pageMargins left="0.5" right="0.5" top="0.73" bottom="0.98" header="0.5" footer="0.5"/>
  <pageSetup scale="5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S11" sqref="S11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59" customWidth="1"/>
    <col min="5" max="5" width="24.28515625" style="1" customWidth="1"/>
    <col min="6" max="6" width="7.7109375" style="159" customWidth="1"/>
    <col min="7" max="7" width="8.85546875" style="159" customWidth="1"/>
    <col min="8" max="8" width="11.140625" style="159" bestFit="1" customWidth="1"/>
    <col min="9" max="9" width="11.28515625" style="160" customWidth="1"/>
    <col min="10" max="10" width="13.7109375" style="159" customWidth="1"/>
    <col min="11" max="11" width="13.5703125" style="161" customWidth="1"/>
    <col min="12" max="12" width="14.7109375" style="159" customWidth="1"/>
    <col min="13" max="13" width="13.42578125" style="125" bestFit="1" customWidth="1"/>
    <col min="14" max="17" width="13.42578125" style="125" customWidth="1"/>
    <col min="18" max="18" width="15.5703125" style="227" customWidth="1"/>
    <col min="19" max="16384" width="8.7109375" style="1"/>
  </cols>
  <sheetData>
    <row r="1" spans="2:19" ht="22.5" x14ac:dyDescent="0.2">
      <c r="B1" s="10" t="s">
        <v>101</v>
      </c>
      <c r="C1" s="115"/>
      <c r="D1" s="116"/>
      <c r="E1" s="115"/>
      <c r="F1" s="117" t="s">
        <v>12</v>
      </c>
      <c r="G1" s="118"/>
      <c r="H1" s="119"/>
      <c r="I1" s="120"/>
      <c r="J1" s="254" t="str">
        <f>"True-Up ARR
(CY"&amp;R1&amp;")"</f>
        <v>True-Up ARR
(CY2022)</v>
      </c>
      <c r="K1" s="254" t="str">
        <f>"Projected ARR
(Jan'"&amp;RIGHT(R$1,2)&amp;" - Dec'"&amp;RIGHT(R$1,2)&amp;")"</f>
        <v>Projected ARR
(Jan'22 - Dec'22)</v>
      </c>
      <c r="L1" s="121" t="s">
        <v>47</v>
      </c>
      <c r="M1" s="122"/>
      <c r="N1" s="52"/>
      <c r="O1" s="52"/>
      <c r="P1" s="52"/>
      <c r="Q1" s="52"/>
      <c r="R1" s="123">
        <v>2022</v>
      </c>
      <c r="S1" s="2"/>
    </row>
    <row r="2" spans="2:19" x14ac:dyDescent="0.2">
      <c r="B2" s="10" t="s">
        <v>54</v>
      </c>
      <c r="C2" s="115"/>
      <c r="D2" s="116"/>
      <c r="E2" s="115"/>
      <c r="F2" s="124">
        <v>9</v>
      </c>
      <c r="G2" s="256"/>
      <c r="H2" s="256"/>
      <c r="I2" s="126" t="s">
        <v>6</v>
      </c>
      <c r="J2" s="242">
        <v>132600783.60628136</v>
      </c>
      <c r="K2" s="242">
        <v>136344248.6912708</v>
      </c>
      <c r="L2" s="248"/>
      <c r="M2" s="128"/>
      <c r="N2" s="52"/>
      <c r="O2" s="52"/>
      <c r="P2" s="52"/>
      <c r="Q2" s="52"/>
      <c r="R2" s="1"/>
    </row>
    <row r="3" spans="2:19" x14ac:dyDescent="0.2">
      <c r="B3" s="10" t="str">
        <f>"for CY"&amp;R1&amp;" SPP Network Transmission Service"</f>
        <v>for CY2022 SPP Network Transmission Service</v>
      </c>
      <c r="C3" s="115"/>
      <c r="D3" s="116"/>
      <c r="E3" s="115"/>
      <c r="F3" s="124"/>
      <c r="G3" s="256"/>
      <c r="H3" s="256"/>
      <c r="I3" s="126" t="s">
        <v>10</v>
      </c>
      <c r="J3" s="243">
        <v>1266.7977110484107</v>
      </c>
      <c r="K3" s="243">
        <v>1393.5515841383033</v>
      </c>
      <c r="L3" s="148" t="str">
        <f>"Inv. Jan-Dec'"&amp;RIGHT(R1,2)</f>
        <v>Inv. Jan-Dec'22</v>
      </c>
      <c r="M3" s="128"/>
      <c r="N3" s="52"/>
      <c r="O3" s="52"/>
      <c r="P3" s="52"/>
      <c r="Q3" s="52"/>
      <c r="R3" s="1"/>
    </row>
    <row r="4" spans="2:19" x14ac:dyDescent="0.2">
      <c r="B4" s="9"/>
      <c r="C4" s="115"/>
      <c r="D4" s="116"/>
      <c r="E4" s="115"/>
      <c r="F4" s="124"/>
      <c r="G4" s="125"/>
      <c r="H4" s="125"/>
      <c r="I4" s="51"/>
      <c r="J4" s="125"/>
      <c r="K4" s="129"/>
      <c r="L4" s="125"/>
      <c r="M4" s="130"/>
      <c r="R4" s="1"/>
    </row>
    <row r="5" spans="2:19" x14ac:dyDescent="0.2">
      <c r="B5" s="9"/>
      <c r="C5" s="115"/>
      <c r="D5" s="116"/>
      <c r="E5" s="115"/>
      <c r="F5" s="124"/>
      <c r="G5" s="125"/>
      <c r="H5" s="125"/>
      <c r="I5" s="126"/>
      <c r="J5" s="125"/>
      <c r="K5" s="242">
        <v>0</v>
      </c>
      <c r="L5" s="127"/>
      <c r="M5" s="131"/>
      <c r="N5" s="132"/>
      <c r="O5" s="132"/>
      <c r="P5" s="132"/>
      <c r="Q5" s="132"/>
      <c r="R5" s="133"/>
    </row>
    <row r="6" spans="2:19" x14ac:dyDescent="0.2">
      <c r="B6" s="10" t="s">
        <v>23</v>
      </c>
      <c r="D6" s="116"/>
      <c r="E6" s="115"/>
      <c r="F6" s="134"/>
      <c r="G6" s="135"/>
      <c r="H6" s="136"/>
      <c r="I6" s="137"/>
      <c r="J6" s="138"/>
      <c r="K6" s="243">
        <v>0</v>
      </c>
      <c r="L6" s="230"/>
      <c r="M6" s="131"/>
      <c r="N6" s="132"/>
      <c r="O6" s="132"/>
      <c r="P6" s="132"/>
      <c r="Q6" s="132"/>
      <c r="R6" s="1"/>
    </row>
    <row r="7" spans="2:19" x14ac:dyDescent="0.2">
      <c r="B7" s="9" t="s">
        <v>79</v>
      </c>
      <c r="D7" s="116"/>
      <c r="E7" s="115"/>
      <c r="F7" s="124"/>
      <c r="G7" s="257"/>
      <c r="H7" s="256"/>
      <c r="I7" s="126"/>
      <c r="J7" s="139"/>
      <c r="K7" s="127"/>
      <c r="L7" s="127"/>
      <c r="M7" s="140"/>
      <c r="N7" s="141"/>
      <c r="O7" s="141"/>
      <c r="P7" s="141"/>
      <c r="Q7" s="141"/>
      <c r="R7" s="1"/>
    </row>
    <row r="8" spans="2:19" x14ac:dyDescent="0.2">
      <c r="B8" s="10"/>
      <c r="C8" s="115"/>
      <c r="D8" s="116"/>
      <c r="E8" s="115"/>
      <c r="F8" s="124"/>
      <c r="G8" s="256"/>
      <c r="H8" s="256"/>
      <c r="I8" s="126"/>
      <c r="J8" s="142"/>
      <c r="K8" s="127"/>
      <c r="L8" s="143"/>
      <c r="M8" s="128"/>
      <c r="N8" s="52"/>
      <c r="O8" s="52"/>
      <c r="P8" s="52"/>
      <c r="Q8" s="52"/>
      <c r="R8" s="133"/>
    </row>
    <row r="9" spans="2:19" x14ac:dyDescent="0.2">
      <c r="B9" s="144"/>
      <c r="C9" s="115"/>
      <c r="D9" s="116"/>
      <c r="E9" s="115"/>
      <c r="F9" s="124"/>
      <c r="G9" s="125"/>
      <c r="H9" s="125"/>
      <c r="I9" s="145"/>
      <c r="J9" s="146"/>
      <c r="K9" s="147"/>
      <c r="L9" s="148"/>
      <c r="M9" s="128"/>
      <c r="N9" s="52"/>
      <c r="O9" s="52"/>
      <c r="P9" s="52"/>
      <c r="Q9" s="52"/>
      <c r="R9" s="133"/>
    </row>
    <row r="10" spans="2:19" ht="13.5" thickBot="1" x14ac:dyDescent="0.25">
      <c r="B10" s="9"/>
      <c r="D10" s="1"/>
      <c r="E10" s="149"/>
      <c r="F10" s="150"/>
      <c r="G10" s="151"/>
      <c r="H10" s="152"/>
      <c r="I10" s="153"/>
      <c r="J10" s="154"/>
      <c r="K10" s="154"/>
      <c r="L10" s="155"/>
      <c r="M10" s="156"/>
      <c r="R10" s="157"/>
    </row>
    <row r="11" spans="2:19" x14ac:dyDescent="0.2">
      <c r="B11" s="158" t="s">
        <v>84</v>
      </c>
      <c r="E11" s="149"/>
      <c r="L11" s="162"/>
      <c r="M11" s="1"/>
      <c r="N11" s="1"/>
      <c r="O11" s="1"/>
      <c r="P11" s="1"/>
      <c r="Q11" s="1"/>
      <c r="R11" s="133"/>
    </row>
    <row r="12" spans="2:19" x14ac:dyDescent="0.2">
      <c r="E12" s="149"/>
      <c r="L12" s="162"/>
      <c r="R12" s="163" t="s">
        <v>62</v>
      </c>
    </row>
    <row r="13" spans="2:19" x14ac:dyDescent="0.2">
      <c r="E13" s="149"/>
      <c r="F13" s="164"/>
      <c r="G13" s="165"/>
      <c r="H13" s="165"/>
      <c r="I13" s="166" t="s">
        <v>60</v>
      </c>
      <c r="J13" s="167">
        <f t="shared" ref="J13:R13" si="0">SUM(J56:J211)</f>
        <v>35171371.649548054</v>
      </c>
      <c r="K13" s="167">
        <f t="shared" si="0"/>
        <v>38690566.182015911</v>
      </c>
      <c r="L13" s="168">
        <f t="shared" si="0"/>
        <v>-3519194.5324677755</v>
      </c>
      <c r="M13" s="169">
        <f t="shared" si="0"/>
        <v>-192173.00048470238</v>
      </c>
      <c r="N13" s="167">
        <f t="shared" si="0"/>
        <v>-3711367.5329524809</v>
      </c>
      <c r="O13" s="167">
        <f>SUM(O56:O211)</f>
        <v>0</v>
      </c>
      <c r="P13" s="167">
        <f t="shared" si="0"/>
        <v>0</v>
      </c>
      <c r="Q13" s="167">
        <v>0</v>
      </c>
      <c r="R13" s="168">
        <f t="shared" si="0"/>
        <v>-3711367.5329524809</v>
      </c>
    </row>
    <row r="14" spans="2:19" x14ac:dyDescent="0.2">
      <c r="E14" s="149"/>
      <c r="F14" s="170"/>
      <c r="G14" s="170"/>
      <c r="H14" s="170"/>
      <c r="I14" s="171" t="s">
        <v>61</v>
      </c>
      <c r="J14" s="167">
        <f>SUM(J20:J211)</f>
        <v>132600783.60628143</v>
      </c>
      <c r="K14" s="167">
        <f>SUM(K20:K211)</f>
        <v>145868618.51809266</v>
      </c>
      <c r="L14" s="168">
        <f>SUM(L20:L211)</f>
        <v>-13267834.911811415</v>
      </c>
      <c r="M14" s="244">
        <v>-724517.96040684916</v>
      </c>
      <c r="N14" s="167">
        <f>SUM(N20:N211)</f>
        <v>-13992352.872218259</v>
      </c>
      <c r="O14" s="167">
        <f>SUM(O20:O211)</f>
        <v>0</v>
      </c>
      <c r="P14" s="167">
        <f>SUM(P20:P211)</f>
        <v>0</v>
      </c>
      <c r="Q14" s="167">
        <v>0</v>
      </c>
      <c r="R14" s="168">
        <f>SUM(R20:R211)</f>
        <v>-13992352.872218259</v>
      </c>
    </row>
    <row r="15" spans="2:19" x14ac:dyDescent="0.2">
      <c r="B15" s="172" t="s">
        <v>86</v>
      </c>
      <c r="E15" s="149"/>
      <c r="J15" s="160"/>
      <c r="L15" s="162"/>
      <c r="M15" s="249"/>
      <c r="N15" s="173"/>
      <c r="O15" s="173"/>
      <c r="P15" s="173"/>
      <c r="Q15" s="173"/>
      <c r="R15" s="174" t="s">
        <v>20</v>
      </c>
    </row>
    <row r="16" spans="2:19" x14ac:dyDescent="0.2">
      <c r="B16" s="175" t="str">
        <f>"** Actual Trued-Up CY"&amp;R1&amp;" Charge reflects "&amp;R1&amp;" True-UP Rate x MW"</f>
        <v>** Actual Trued-Up CY2022 Charge reflects 2022 True-UP Rate x MW</v>
      </c>
      <c r="E16" s="149"/>
      <c r="F16" s="125"/>
      <c r="G16" s="5"/>
      <c r="J16" s="176"/>
      <c r="L16" s="177" t="s">
        <v>11</v>
      </c>
      <c r="M16" s="173"/>
      <c r="N16" s="173"/>
      <c r="O16" s="173"/>
      <c r="P16" s="173"/>
      <c r="Q16" s="173"/>
      <c r="R16" s="178"/>
    </row>
    <row r="17" spans="1:18" x14ac:dyDescent="0.2">
      <c r="B17" s="179" t="s">
        <v>64</v>
      </c>
      <c r="E17" s="149"/>
      <c r="I17" s="180"/>
      <c r="J17" s="181"/>
      <c r="K17" s="182"/>
      <c r="L17" s="182"/>
      <c r="M17" s="182"/>
      <c r="N17" s="182"/>
      <c r="O17" s="182"/>
      <c r="P17" s="182"/>
      <c r="Q17" s="182"/>
      <c r="R17" s="183"/>
    </row>
    <row r="18" spans="1:18" ht="3.6" customHeight="1" x14ac:dyDescent="0.2">
      <c r="I18" s="184"/>
      <c r="J18" s="181"/>
      <c r="K18" s="184"/>
      <c r="L18" s="184"/>
      <c r="M18" s="185"/>
      <c r="N18" s="185"/>
      <c r="O18" s="185"/>
      <c r="P18" s="185"/>
      <c r="Q18" s="185"/>
      <c r="R18" s="186"/>
    </row>
    <row r="19" spans="1:18" ht="38.25" customHeight="1" x14ac:dyDescent="0.2">
      <c r="B19" s="187" t="s">
        <v>55</v>
      </c>
      <c r="C19" s="250" t="s">
        <v>4</v>
      </c>
      <c r="D19" s="250" t="s">
        <v>5</v>
      </c>
      <c r="E19" s="251" t="s">
        <v>0</v>
      </c>
      <c r="F19" s="252" t="s">
        <v>12</v>
      </c>
      <c r="G19" s="253" t="s">
        <v>1</v>
      </c>
      <c r="H19" s="188" t="s">
        <v>50</v>
      </c>
      <c r="I19" s="188" t="s">
        <v>48</v>
      </c>
      <c r="J19" s="189" t="str">
        <f>"True-Up Charge"</f>
        <v>True-Up Charge</v>
      </c>
      <c r="K19" s="189" t="s">
        <v>49</v>
      </c>
      <c r="L19" s="190" t="s">
        <v>3</v>
      </c>
      <c r="M19" s="191" t="s">
        <v>7</v>
      </c>
      <c r="N19" s="192" t="s">
        <v>103</v>
      </c>
      <c r="O19" s="192" t="s">
        <v>88</v>
      </c>
      <c r="P19" s="192" t="s">
        <v>89</v>
      </c>
      <c r="Q19" s="192" t="s">
        <v>90</v>
      </c>
      <c r="R19" s="193" t="s">
        <v>2</v>
      </c>
    </row>
    <row r="20" spans="1:18" s="52" customFormat="1" ht="12.75" customHeight="1" x14ac:dyDescent="0.2">
      <c r="A20" s="125">
        <v>1</v>
      </c>
      <c r="B20" s="194">
        <f>DATE($R$1,A20,1)</f>
        <v>44562</v>
      </c>
      <c r="C20" s="245">
        <v>44595</v>
      </c>
      <c r="D20" s="245">
        <v>44615</v>
      </c>
      <c r="E20" s="195" t="s">
        <v>21</v>
      </c>
      <c r="F20" s="125">
        <v>9</v>
      </c>
      <c r="G20" s="196">
        <v>2899</v>
      </c>
      <c r="H20" s="197">
        <f>+$K$3</f>
        <v>1393.5515841383033</v>
      </c>
      <c r="I20" s="197">
        <f t="shared" ref="I20:I63" si="1">$J$3</f>
        <v>1266.7977110484107</v>
      </c>
      <c r="J20" s="198">
        <f t="shared" ref="J20:J108" si="2">+$G20*I20</f>
        <v>3672446.5643293429</v>
      </c>
      <c r="K20" s="199">
        <f>+$G20*H20</f>
        <v>4039906.0424169414</v>
      </c>
      <c r="L20" s="200">
        <f t="shared" ref="L20:L34" si="3">+J20-K20</f>
        <v>-367459.47808759846</v>
      </c>
      <c r="M20" s="201">
        <f>G20/$G$212*$M$14</f>
        <v>-20065.895706856103</v>
      </c>
      <c r="N20" s="202">
        <f>SUM(L20:M20)</f>
        <v>-387525.37379445456</v>
      </c>
      <c r="O20" s="201">
        <f>+$P$3</f>
        <v>0</v>
      </c>
      <c r="P20" s="201">
        <f>+G20*O20</f>
        <v>0</v>
      </c>
      <c r="Q20" s="201">
        <v>0</v>
      </c>
      <c r="R20" s="202">
        <f>+N20-Q20</f>
        <v>-387525.37379445456</v>
      </c>
    </row>
    <row r="21" spans="1:18" x14ac:dyDescent="0.2">
      <c r="A21" s="159">
        <v>2</v>
      </c>
      <c r="B21" s="194">
        <f t="shared" ref="B21:B108" si="4">DATE($R$1,A21,1)</f>
        <v>44593</v>
      </c>
      <c r="C21" s="245">
        <v>44623</v>
      </c>
      <c r="D21" s="245">
        <v>44642</v>
      </c>
      <c r="E21" s="203" t="s">
        <v>21</v>
      </c>
      <c r="F21" s="159">
        <v>9</v>
      </c>
      <c r="G21" s="196">
        <v>2759</v>
      </c>
      <c r="H21" s="197">
        <f t="shared" ref="H21:H84" si="5">+$K$3</f>
        <v>1393.5515841383033</v>
      </c>
      <c r="I21" s="197">
        <f t="shared" si="1"/>
        <v>1266.7977110484107</v>
      </c>
      <c r="J21" s="198">
        <f t="shared" si="2"/>
        <v>3495094.8847825653</v>
      </c>
      <c r="K21" s="199">
        <f t="shared" ref="K21:K33" si="6">+$G21*H21</f>
        <v>3844808.8206375786</v>
      </c>
      <c r="L21" s="200">
        <f t="shared" si="3"/>
        <v>-349713.93585501332</v>
      </c>
      <c r="M21" s="201">
        <f t="shared" ref="M21:M84" si="7">G21/$G$212*$M$14</f>
        <v>-19096.863144262155</v>
      </c>
      <c r="N21" s="202">
        <f t="shared" ref="N21:N84" si="8">SUM(L21:M21)</f>
        <v>-368810.79899927549</v>
      </c>
      <c r="O21" s="201">
        <f t="shared" ref="O21:O84" si="9">+$P$3</f>
        <v>0</v>
      </c>
      <c r="P21" s="201">
        <f t="shared" ref="P21:P84" si="10">+G21*O21</f>
        <v>0</v>
      </c>
      <c r="Q21" s="201">
        <v>0</v>
      </c>
      <c r="R21" s="202">
        <f t="shared" ref="R21:R84" si="11">+N21-Q21</f>
        <v>-368810.79899927549</v>
      </c>
    </row>
    <row r="22" spans="1:18" x14ac:dyDescent="0.2">
      <c r="A22" s="159">
        <v>3</v>
      </c>
      <c r="B22" s="194">
        <f t="shared" si="4"/>
        <v>44621</v>
      </c>
      <c r="C22" s="245">
        <v>44656</v>
      </c>
      <c r="D22" s="245">
        <v>44676</v>
      </c>
      <c r="E22" s="203" t="s">
        <v>21</v>
      </c>
      <c r="F22" s="159">
        <v>9</v>
      </c>
      <c r="G22" s="196">
        <v>2450</v>
      </c>
      <c r="H22" s="197">
        <f t="shared" si="5"/>
        <v>1393.5515841383033</v>
      </c>
      <c r="I22" s="197">
        <f t="shared" si="1"/>
        <v>1266.7977110484107</v>
      </c>
      <c r="J22" s="198">
        <f t="shared" si="2"/>
        <v>3103654.3920686063</v>
      </c>
      <c r="K22" s="199">
        <f t="shared" si="6"/>
        <v>3414201.381138843</v>
      </c>
      <c r="L22" s="200">
        <f t="shared" si="3"/>
        <v>-310546.98907023668</v>
      </c>
      <c r="M22" s="201">
        <f t="shared" si="7"/>
        <v>-16958.069845394086</v>
      </c>
      <c r="N22" s="202">
        <f t="shared" si="8"/>
        <v>-327505.0589156308</v>
      </c>
      <c r="O22" s="201">
        <f t="shared" si="9"/>
        <v>0</v>
      </c>
      <c r="P22" s="201">
        <f t="shared" si="10"/>
        <v>0</v>
      </c>
      <c r="Q22" s="201">
        <v>0</v>
      </c>
      <c r="R22" s="202">
        <f t="shared" si="11"/>
        <v>-327505.0589156308</v>
      </c>
    </row>
    <row r="23" spans="1:18" x14ac:dyDescent="0.2">
      <c r="A23" s="125">
        <v>4</v>
      </c>
      <c r="B23" s="194">
        <f t="shared" si="4"/>
        <v>44652</v>
      </c>
      <c r="C23" s="245">
        <v>44685</v>
      </c>
      <c r="D23" s="245">
        <v>44705</v>
      </c>
      <c r="E23" s="203" t="s">
        <v>21</v>
      </c>
      <c r="F23" s="159">
        <v>9</v>
      </c>
      <c r="G23" s="196">
        <v>2395</v>
      </c>
      <c r="H23" s="197">
        <f t="shared" si="5"/>
        <v>1393.5515841383033</v>
      </c>
      <c r="I23" s="197">
        <f t="shared" si="1"/>
        <v>1266.7977110484107</v>
      </c>
      <c r="J23" s="198">
        <f t="shared" si="2"/>
        <v>3033980.5179609437</v>
      </c>
      <c r="K23" s="199">
        <f t="shared" si="6"/>
        <v>3337556.0440112362</v>
      </c>
      <c r="L23" s="200">
        <f t="shared" si="3"/>
        <v>-303575.52605029242</v>
      </c>
      <c r="M23" s="201">
        <f t="shared" si="7"/>
        <v>-16577.378481517891</v>
      </c>
      <c r="N23" s="202">
        <f t="shared" si="8"/>
        <v>-320152.90453181032</v>
      </c>
      <c r="O23" s="201">
        <f t="shared" si="9"/>
        <v>0</v>
      </c>
      <c r="P23" s="201">
        <f t="shared" si="10"/>
        <v>0</v>
      </c>
      <c r="Q23" s="201">
        <v>0</v>
      </c>
      <c r="R23" s="202">
        <f t="shared" si="11"/>
        <v>-320152.90453181032</v>
      </c>
    </row>
    <row r="24" spans="1:18" ht="12" customHeight="1" x14ac:dyDescent="0.2">
      <c r="A24" s="159">
        <v>5</v>
      </c>
      <c r="B24" s="194">
        <f t="shared" si="4"/>
        <v>44682</v>
      </c>
      <c r="C24" s="245">
        <v>44715</v>
      </c>
      <c r="D24" s="245">
        <v>44735</v>
      </c>
      <c r="E24" s="54" t="s">
        <v>21</v>
      </c>
      <c r="F24" s="159">
        <v>9</v>
      </c>
      <c r="G24" s="196">
        <v>3482</v>
      </c>
      <c r="H24" s="197">
        <f t="shared" si="5"/>
        <v>1393.5515841383033</v>
      </c>
      <c r="I24" s="197">
        <f t="shared" si="1"/>
        <v>1266.7977110484107</v>
      </c>
      <c r="J24" s="198">
        <f t="shared" si="2"/>
        <v>4410989.6298705665</v>
      </c>
      <c r="K24" s="199">
        <f t="shared" si="6"/>
        <v>4852346.6159695722</v>
      </c>
      <c r="L24" s="200">
        <f t="shared" si="3"/>
        <v>-441356.98609900568</v>
      </c>
      <c r="M24" s="201">
        <f t="shared" si="7"/>
        <v>-24101.22416394376</v>
      </c>
      <c r="N24" s="202">
        <f t="shared" si="8"/>
        <v>-465458.21026294946</v>
      </c>
      <c r="O24" s="201">
        <f t="shared" si="9"/>
        <v>0</v>
      </c>
      <c r="P24" s="201">
        <f t="shared" si="10"/>
        <v>0</v>
      </c>
      <c r="Q24" s="201">
        <v>0</v>
      </c>
      <c r="R24" s="202">
        <f t="shared" si="11"/>
        <v>-465458.21026294946</v>
      </c>
    </row>
    <row r="25" spans="1:18" x14ac:dyDescent="0.2">
      <c r="A25" s="159">
        <v>6</v>
      </c>
      <c r="B25" s="194">
        <f t="shared" si="4"/>
        <v>44713</v>
      </c>
      <c r="C25" s="245">
        <v>44747</v>
      </c>
      <c r="D25" s="245">
        <v>44767</v>
      </c>
      <c r="E25" s="54" t="s">
        <v>21</v>
      </c>
      <c r="F25" s="159">
        <v>9</v>
      </c>
      <c r="G25" s="196">
        <v>4006</v>
      </c>
      <c r="H25" s="197">
        <f t="shared" si="5"/>
        <v>1393.5515841383033</v>
      </c>
      <c r="I25" s="197">
        <f t="shared" si="1"/>
        <v>1266.7977110484107</v>
      </c>
      <c r="J25" s="198">
        <f t="shared" si="2"/>
        <v>5074791.6304599335</v>
      </c>
      <c r="K25" s="199">
        <f t="shared" si="6"/>
        <v>5582567.6460580425</v>
      </c>
      <c r="L25" s="204">
        <f t="shared" si="3"/>
        <v>-507776.01559810899</v>
      </c>
      <c r="M25" s="201">
        <f t="shared" si="7"/>
        <v>-27728.174612509676</v>
      </c>
      <c r="N25" s="202">
        <f t="shared" si="8"/>
        <v>-535504.19021061866</v>
      </c>
      <c r="O25" s="201">
        <f t="shared" si="9"/>
        <v>0</v>
      </c>
      <c r="P25" s="201">
        <f t="shared" si="10"/>
        <v>0</v>
      </c>
      <c r="Q25" s="201">
        <v>0</v>
      </c>
      <c r="R25" s="202">
        <f t="shared" si="11"/>
        <v>-535504.19021061866</v>
      </c>
    </row>
    <row r="26" spans="1:18" x14ac:dyDescent="0.2">
      <c r="A26" s="125">
        <v>7</v>
      </c>
      <c r="B26" s="194">
        <f t="shared" si="4"/>
        <v>44743</v>
      </c>
      <c r="C26" s="245">
        <v>44776</v>
      </c>
      <c r="D26" s="245">
        <v>44796</v>
      </c>
      <c r="E26" s="54" t="s">
        <v>21</v>
      </c>
      <c r="F26" s="159">
        <v>9</v>
      </c>
      <c r="G26" s="196">
        <v>4230</v>
      </c>
      <c r="H26" s="197">
        <f t="shared" si="5"/>
        <v>1393.5515841383033</v>
      </c>
      <c r="I26" s="197">
        <f t="shared" si="1"/>
        <v>1266.7977110484107</v>
      </c>
      <c r="J26" s="198">
        <f t="shared" si="2"/>
        <v>5358554.317734777</v>
      </c>
      <c r="K26" s="205">
        <f t="shared" si="6"/>
        <v>5894723.2009050231</v>
      </c>
      <c r="L26" s="204">
        <f t="shared" si="3"/>
        <v>-536168.88317024615</v>
      </c>
      <c r="M26" s="201">
        <f t="shared" si="7"/>
        <v>-29278.626712659992</v>
      </c>
      <c r="N26" s="202">
        <f t="shared" si="8"/>
        <v>-565447.5098829061</v>
      </c>
      <c r="O26" s="201">
        <f t="shared" si="9"/>
        <v>0</v>
      </c>
      <c r="P26" s="201">
        <f t="shared" si="10"/>
        <v>0</v>
      </c>
      <c r="Q26" s="201">
        <v>0</v>
      </c>
      <c r="R26" s="202">
        <f t="shared" si="11"/>
        <v>-565447.5098829061</v>
      </c>
    </row>
    <row r="27" spans="1:18" x14ac:dyDescent="0.2">
      <c r="A27" s="159">
        <v>8</v>
      </c>
      <c r="B27" s="194">
        <f t="shared" si="4"/>
        <v>44774</v>
      </c>
      <c r="C27" s="245">
        <v>44809</v>
      </c>
      <c r="D27" s="245">
        <v>44827</v>
      </c>
      <c r="E27" s="54" t="s">
        <v>21</v>
      </c>
      <c r="F27" s="159">
        <v>9</v>
      </c>
      <c r="G27" s="196">
        <v>4151</v>
      </c>
      <c r="H27" s="197">
        <f t="shared" si="5"/>
        <v>1393.5515841383033</v>
      </c>
      <c r="I27" s="197">
        <f t="shared" si="1"/>
        <v>1266.7977110484107</v>
      </c>
      <c r="J27" s="198">
        <f t="shared" si="2"/>
        <v>5258477.298561953</v>
      </c>
      <c r="K27" s="205">
        <f t="shared" si="6"/>
        <v>5784632.6257580966</v>
      </c>
      <c r="L27" s="204">
        <f t="shared" si="3"/>
        <v>-526155.32719614357</v>
      </c>
      <c r="M27" s="201">
        <f t="shared" si="7"/>
        <v>-28731.815480910547</v>
      </c>
      <c r="N27" s="202">
        <f t="shared" si="8"/>
        <v>-554887.14267705416</v>
      </c>
      <c r="O27" s="201">
        <f t="shared" si="9"/>
        <v>0</v>
      </c>
      <c r="P27" s="201">
        <f t="shared" si="10"/>
        <v>0</v>
      </c>
      <c r="Q27" s="201">
        <v>0</v>
      </c>
      <c r="R27" s="202">
        <f t="shared" si="11"/>
        <v>-554887.14267705416</v>
      </c>
    </row>
    <row r="28" spans="1:18" x14ac:dyDescent="0.2">
      <c r="A28" s="159">
        <v>9</v>
      </c>
      <c r="B28" s="194">
        <f t="shared" si="4"/>
        <v>44805</v>
      </c>
      <c r="C28" s="245">
        <v>44839</v>
      </c>
      <c r="D28" s="245">
        <v>44859</v>
      </c>
      <c r="E28" s="54" t="s">
        <v>21</v>
      </c>
      <c r="F28" s="159">
        <v>9</v>
      </c>
      <c r="G28" s="196">
        <v>3898</v>
      </c>
      <c r="H28" s="197">
        <f t="shared" si="5"/>
        <v>1393.5515841383033</v>
      </c>
      <c r="I28" s="197">
        <f t="shared" si="1"/>
        <v>1266.7977110484107</v>
      </c>
      <c r="J28" s="198">
        <f t="shared" si="2"/>
        <v>4937977.4776667049</v>
      </c>
      <c r="K28" s="205">
        <f t="shared" si="6"/>
        <v>5432064.0749711059</v>
      </c>
      <c r="L28" s="204">
        <f t="shared" si="3"/>
        <v>-494086.59730440099</v>
      </c>
      <c r="M28" s="201">
        <f t="shared" si="7"/>
        <v>-26980.63520708006</v>
      </c>
      <c r="N28" s="202">
        <f t="shared" si="8"/>
        <v>-521067.23251148104</v>
      </c>
      <c r="O28" s="201">
        <f t="shared" si="9"/>
        <v>0</v>
      </c>
      <c r="P28" s="201">
        <f t="shared" si="10"/>
        <v>0</v>
      </c>
      <c r="Q28" s="201">
        <v>0</v>
      </c>
      <c r="R28" s="202">
        <f t="shared" si="11"/>
        <v>-521067.23251148104</v>
      </c>
    </row>
    <row r="29" spans="1:18" x14ac:dyDescent="0.2">
      <c r="A29" s="125">
        <v>10</v>
      </c>
      <c r="B29" s="194">
        <f t="shared" si="4"/>
        <v>44835</v>
      </c>
      <c r="C29" s="245">
        <v>44868</v>
      </c>
      <c r="D29" s="245">
        <v>44888</v>
      </c>
      <c r="E29" s="54" t="s">
        <v>21</v>
      </c>
      <c r="F29" s="159">
        <v>9</v>
      </c>
      <c r="G29" s="196">
        <v>2760</v>
      </c>
      <c r="H29" s="197">
        <f t="shared" si="5"/>
        <v>1393.5515841383033</v>
      </c>
      <c r="I29" s="197">
        <f t="shared" si="1"/>
        <v>1266.7977110484107</v>
      </c>
      <c r="J29" s="198">
        <f t="shared" si="2"/>
        <v>3496361.6824936136</v>
      </c>
      <c r="K29" s="205">
        <f t="shared" si="6"/>
        <v>3846202.3722217171</v>
      </c>
      <c r="L29" s="204">
        <f t="shared" si="3"/>
        <v>-349840.68972810358</v>
      </c>
      <c r="M29" s="201">
        <f t="shared" si="7"/>
        <v>-19103.78480542354</v>
      </c>
      <c r="N29" s="202">
        <f t="shared" si="8"/>
        <v>-368944.4745335271</v>
      </c>
      <c r="O29" s="201">
        <f t="shared" si="9"/>
        <v>0</v>
      </c>
      <c r="P29" s="201">
        <f t="shared" si="10"/>
        <v>0</v>
      </c>
      <c r="Q29" s="201">
        <v>0</v>
      </c>
      <c r="R29" s="202">
        <f t="shared" si="11"/>
        <v>-368944.4745335271</v>
      </c>
    </row>
    <row r="30" spans="1:18" x14ac:dyDescent="0.2">
      <c r="A30" s="159">
        <v>11</v>
      </c>
      <c r="B30" s="194">
        <f t="shared" si="4"/>
        <v>44866</v>
      </c>
      <c r="C30" s="245">
        <v>44900</v>
      </c>
      <c r="D30" s="245">
        <v>44918</v>
      </c>
      <c r="E30" s="54" t="s">
        <v>21</v>
      </c>
      <c r="F30" s="159">
        <v>9</v>
      </c>
      <c r="G30" s="196">
        <v>2561</v>
      </c>
      <c r="H30" s="197">
        <f t="shared" si="5"/>
        <v>1393.5515841383033</v>
      </c>
      <c r="I30" s="197">
        <f t="shared" si="1"/>
        <v>1266.7977110484107</v>
      </c>
      <c r="J30" s="198">
        <f t="shared" si="2"/>
        <v>3244268.9379949798</v>
      </c>
      <c r="K30" s="205">
        <f t="shared" si="6"/>
        <v>3568885.6069781948</v>
      </c>
      <c r="L30" s="204">
        <f t="shared" si="3"/>
        <v>-324616.668983215</v>
      </c>
      <c r="M30" s="201">
        <f t="shared" si="7"/>
        <v>-17726.374234307856</v>
      </c>
      <c r="N30" s="202">
        <f t="shared" si="8"/>
        <v>-342343.04321752285</v>
      </c>
      <c r="O30" s="201">
        <f t="shared" si="9"/>
        <v>0</v>
      </c>
      <c r="P30" s="201">
        <f t="shared" si="10"/>
        <v>0</v>
      </c>
      <c r="Q30" s="201">
        <v>0</v>
      </c>
      <c r="R30" s="202">
        <f t="shared" si="11"/>
        <v>-342343.04321752285</v>
      </c>
    </row>
    <row r="31" spans="1:18" x14ac:dyDescent="0.2">
      <c r="A31" s="159">
        <v>12</v>
      </c>
      <c r="B31" s="194">
        <f t="shared" si="4"/>
        <v>44896</v>
      </c>
      <c r="C31" s="246">
        <v>44930</v>
      </c>
      <c r="D31" s="247">
        <v>44950</v>
      </c>
      <c r="E31" s="54" t="s">
        <v>21</v>
      </c>
      <c r="F31" s="159">
        <v>9</v>
      </c>
      <c r="G31" s="196">
        <v>3150</v>
      </c>
      <c r="H31" s="206">
        <f t="shared" si="5"/>
        <v>1393.5515841383033</v>
      </c>
      <c r="I31" s="206">
        <f t="shared" si="1"/>
        <v>1266.7977110484107</v>
      </c>
      <c r="J31" s="207">
        <f t="shared" si="2"/>
        <v>3990412.789802494</v>
      </c>
      <c r="K31" s="208">
        <f t="shared" si="6"/>
        <v>4389687.490035655</v>
      </c>
      <c r="L31" s="209">
        <f t="shared" si="3"/>
        <v>-399274.70023316098</v>
      </c>
      <c r="M31" s="201">
        <f t="shared" si="7"/>
        <v>-21803.232658363824</v>
      </c>
      <c r="N31" s="202">
        <f t="shared" si="8"/>
        <v>-421077.9328915248</v>
      </c>
      <c r="O31" s="201">
        <f t="shared" si="9"/>
        <v>0</v>
      </c>
      <c r="P31" s="201">
        <f t="shared" si="10"/>
        <v>0</v>
      </c>
      <c r="Q31" s="201">
        <v>0</v>
      </c>
      <c r="R31" s="202">
        <f t="shared" si="11"/>
        <v>-421077.9328915248</v>
      </c>
    </row>
    <row r="32" spans="1:18" x14ac:dyDescent="0.2">
      <c r="A32" s="125">
        <v>1</v>
      </c>
      <c r="B32" s="210">
        <f t="shared" si="4"/>
        <v>44562</v>
      </c>
      <c r="C32" s="211">
        <f t="shared" ref="C32:D43" si="12">+C20</f>
        <v>44595</v>
      </c>
      <c r="D32" s="211">
        <f t="shared" si="12"/>
        <v>44615</v>
      </c>
      <c r="E32" s="212" t="s">
        <v>22</v>
      </c>
      <c r="F32" s="213">
        <v>9</v>
      </c>
      <c r="G32" s="196">
        <v>2921</v>
      </c>
      <c r="H32" s="197">
        <f t="shared" si="5"/>
        <v>1393.5515841383033</v>
      </c>
      <c r="I32" s="197">
        <f t="shared" si="1"/>
        <v>1266.7977110484107</v>
      </c>
      <c r="J32" s="198">
        <f t="shared" si="2"/>
        <v>3700316.1139724078</v>
      </c>
      <c r="K32" s="199">
        <f t="shared" si="6"/>
        <v>4070564.177267984</v>
      </c>
      <c r="L32" s="200">
        <f t="shared" si="3"/>
        <v>-370248.06329557626</v>
      </c>
      <c r="M32" s="201">
        <f t="shared" si="7"/>
        <v>-20218.172252406581</v>
      </c>
      <c r="N32" s="202">
        <f t="shared" si="8"/>
        <v>-390466.23554798285</v>
      </c>
      <c r="O32" s="201">
        <f t="shared" si="9"/>
        <v>0</v>
      </c>
      <c r="P32" s="201">
        <f t="shared" si="10"/>
        <v>0</v>
      </c>
      <c r="Q32" s="201">
        <v>0</v>
      </c>
      <c r="R32" s="202">
        <f t="shared" si="11"/>
        <v>-390466.23554798285</v>
      </c>
    </row>
    <row r="33" spans="1:18" x14ac:dyDescent="0.2">
      <c r="A33" s="159">
        <v>2</v>
      </c>
      <c r="B33" s="194">
        <f t="shared" si="4"/>
        <v>44593</v>
      </c>
      <c r="C33" s="214">
        <f t="shared" si="12"/>
        <v>44623</v>
      </c>
      <c r="D33" s="214">
        <f t="shared" si="12"/>
        <v>44642</v>
      </c>
      <c r="E33" s="203" t="s">
        <v>22</v>
      </c>
      <c r="F33" s="159">
        <v>9</v>
      </c>
      <c r="G33" s="196">
        <v>2853</v>
      </c>
      <c r="H33" s="197">
        <f t="shared" si="5"/>
        <v>1393.5515841383033</v>
      </c>
      <c r="I33" s="197">
        <f t="shared" si="1"/>
        <v>1266.7977110484107</v>
      </c>
      <c r="J33" s="198">
        <f t="shared" si="2"/>
        <v>3614173.8696211157</v>
      </c>
      <c r="K33" s="199">
        <f t="shared" si="6"/>
        <v>3975802.669546579</v>
      </c>
      <c r="L33" s="200">
        <f t="shared" si="3"/>
        <v>-361628.79992546327</v>
      </c>
      <c r="M33" s="201">
        <f t="shared" si="7"/>
        <v>-19747.499293432378</v>
      </c>
      <c r="N33" s="202">
        <f t="shared" si="8"/>
        <v>-381376.29921889567</v>
      </c>
      <c r="O33" s="201">
        <f t="shared" si="9"/>
        <v>0</v>
      </c>
      <c r="P33" s="201">
        <f t="shared" si="10"/>
        <v>0</v>
      </c>
      <c r="Q33" s="201">
        <v>0</v>
      </c>
      <c r="R33" s="202">
        <f t="shared" si="11"/>
        <v>-381376.29921889567</v>
      </c>
    </row>
    <row r="34" spans="1:18" x14ac:dyDescent="0.2">
      <c r="A34" s="159">
        <v>3</v>
      </c>
      <c r="B34" s="194">
        <f t="shared" si="4"/>
        <v>44621</v>
      </c>
      <c r="C34" s="214">
        <f t="shared" si="12"/>
        <v>44656</v>
      </c>
      <c r="D34" s="214">
        <f t="shared" si="12"/>
        <v>44676</v>
      </c>
      <c r="E34" s="203" t="s">
        <v>22</v>
      </c>
      <c r="F34" s="159">
        <v>9</v>
      </c>
      <c r="G34" s="196">
        <v>2560</v>
      </c>
      <c r="H34" s="197">
        <f t="shared" si="5"/>
        <v>1393.5515841383033</v>
      </c>
      <c r="I34" s="197">
        <f t="shared" si="1"/>
        <v>1266.7977110484107</v>
      </c>
      <c r="J34" s="198">
        <f t="shared" si="2"/>
        <v>3243002.1402839315</v>
      </c>
      <c r="K34" s="199">
        <f t="shared" ref="K34:K93" si="13">+$G34*H34</f>
        <v>3567492.0553940563</v>
      </c>
      <c r="L34" s="200">
        <f t="shared" si="3"/>
        <v>-324489.91511012474</v>
      </c>
      <c r="M34" s="201">
        <f t="shared" si="7"/>
        <v>-17719.452573146471</v>
      </c>
      <c r="N34" s="202">
        <f t="shared" si="8"/>
        <v>-342209.36768327124</v>
      </c>
      <c r="O34" s="201">
        <f t="shared" si="9"/>
        <v>0</v>
      </c>
      <c r="P34" s="201">
        <f t="shared" si="10"/>
        <v>0</v>
      </c>
      <c r="Q34" s="201">
        <v>0</v>
      </c>
      <c r="R34" s="202">
        <f t="shared" si="11"/>
        <v>-342209.36768327124</v>
      </c>
    </row>
    <row r="35" spans="1:18" x14ac:dyDescent="0.2">
      <c r="A35" s="125">
        <v>4</v>
      </c>
      <c r="B35" s="194">
        <f t="shared" si="4"/>
        <v>44652</v>
      </c>
      <c r="C35" s="214">
        <f t="shared" si="12"/>
        <v>44685</v>
      </c>
      <c r="D35" s="214">
        <f t="shared" si="12"/>
        <v>44705</v>
      </c>
      <c r="E35" s="203" t="s">
        <v>22</v>
      </c>
      <c r="F35" s="159">
        <v>9</v>
      </c>
      <c r="G35" s="196">
        <v>2434</v>
      </c>
      <c r="H35" s="197">
        <f t="shared" si="5"/>
        <v>1393.5515841383033</v>
      </c>
      <c r="I35" s="197">
        <f t="shared" si="1"/>
        <v>1266.7977110484107</v>
      </c>
      <c r="J35" s="198">
        <f t="shared" si="2"/>
        <v>3083385.6286918316</v>
      </c>
      <c r="K35" s="199">
        <f t="shared" si="13"/>
        <v>3391904.5557926302</v>
      </c>
      <c r="L35" s="200">
        <f t="shared" ref="L35:L57" si="14">+J35-K35</f>
        <v>-308518.92710079858</v>
      </c>
      <c r="M35" s="201">
        <f t="shared" si="7"/>
        <v>-16847.32326681192</v>
      </c>
      <c r="N35" s="202">
        <f t="shared" si="8"/>
        <v>-325366.25036761048</v>
      </c>
      <c r="O35" s="201">
        <f t="shared" si="9"/>
        <v>0</v>
      </c>
      <c r="P35" s="201">
        <f t="shared" si="10"/>
        <v>0</v>
      </c>
      <c r="Q35" s="201">
        <v>0</v>
      </c>
      <c r="R35" s="202">
        <f t="shared" si="11"/>
        <v>-325366.25036761048</v>
      </c>
    </row>
    <row r="36" spans="1:18" x14ac:dyDescent="0.2">
      <c r="A36" s="159">
        <v>5</v>
      </c>
      <c r="B36" s="194">
        <f t="shared" si="4"/>
        <v>44682</v>
      </c>
      <c r="C36" s="214">
        <f t="shared" si="12"/>
        <v>44715</v>
      </c>
      <c r="D36" s="214">
        <f t="shared" si="12"/>
        <v>44735</v>
      </c>
      <c r="E36" s="54" t="s">
        <v>22</v>
      </c>
      <c r="F36" s="159">
        <v>9</v>
      </c>
      <c r="G36" s="196">
        <v>3117</v>
      </c>
      <c r="H36" s="197">
        <f t="shared" si="5"/>
        <v>1393.5515841383033</v>
      </c>
      <c r="I36" s="197">
        <f t="shared" si="1"/>
        <v>1266.7977110484107</v>
      </c>
      <c r="J36" s="198">
        <f t="shared" si="2"/>
        <v>3948608.4653378963</v>
      </c>
      <c r="K36" s="199">
        <f t="shared" si="13"/>
        <v>4343700.2877590917</v>
      </c>
      <c r="L36" s="200">
        <f t="shared" si="14"/>
        <v>-395091.82242119545</v>
      </c>
      <c r="M36" s="201">
        <f t="shared" si="7"/>
        <v>-21574.817840038108</v>
      </c>
      <c r="N36" s="202">
        <f t="shared" si="8"/>
        <v>-416666.64026123355</v>
      </c>
      <c r="O36" s="201">
        <f t="shared" si="9"/>
        <v>0</v>
      </c>
      <c r="P36" s="201">
        <f t="shared" si="10"/>
        <v>0</v>
      </c>
      <c r="Q36" s="201">
        <v>0</v>
      </c>
      <c r="R36" s="202">
        <f t="shared" si="11"/>
        <v>-416666.64026123355</v>
      </c>
    </row>
    <row r="37" spans="1:18" x14ac:dyDescent="0.2">
      <c r="A37" s="159">
        <v>6</v>
      </c>
      <c r="B37" s="194">
        <f t="shared" si="4"/>
        <v>44713</v>
      </c>
      <c r="C37" s="214">
        <f t="shared" si="12"/>
        <v>44747</v>
      </c>
      <c r="D37" s="214">
        <f t="shared" si="12"/>
        <v>44767</v>
      </c>
      <c r="E37" s="54" t="s">
        <v>22</v>
      </c>
      <c r="F37" s="159">
        <v>9</v>
      </c>
      <c r="G37" s="196">
        <v>3536</v>
      </c>
      <c r="H37" s="197">
        <f t="shared" si="5"/>
        <v>1393.5515841383033</v>
      </c>
      <c r="I37" s="197">
        <f t="shared" si="1"/>
        <v>1266.7977110484107</v>
      </c>
      <c r="J37" s="198">
        <f t="shared" si="2"/>
        <v>4479396.7062671809</v>
      </c>
      <c r="K37" s="199">
        <f t="shared" si="13"/>
        <v>4927598.4015130401</v>
      </c>
      <c r="L37" s="204">
        <f t="shared" si="14"/>
        <v>-448201.69524585921</v>
      </c>
      <c r="M37" s="201">
        <f t="shared" si="7"/>
        <v>-24474.993866658566</v>
      </c>
      <c r="N37" s="202">
        <f t="shared" si="8"/>
        <v>-472676.68911251775</v>
      </c>
      <c r="O37" s="201">
        <f t="shared" si="9"/>
        <v>0</v>
      </c>
      <c r="P37" s="201">
        <f t="shared" si="10"/>
        <v>0</v>
      </c>
      <c r="Q37" s="201">
        <v>0</v>
      </c>
      <c r="R37" s="202">
        <f t="shared" si="11"/>
        <v>-472676.68911251775</v>
      </c>
    </row>
    <row r="38" spans="1:18" x14ac:dyDescent="0.2">
      <c r="A38" s="125">
        <v>7</v>
      </c>
      <c r="B38" s="194">
        <f t="shared" si="4"/>
        <v>44743</v>
      </c>
      <c r="C38" s="214">
        <f t="shared" si="12"/>
        <v>44776</v>
      </c>
      <c r="D38" s="214">
        <f t="shared" si="12"/>
        <v>44796</v>
      </c>
      <c r="E38" s="54" t="s">
        <v>22</v>
      </c>
      <c r="F38" s="159">
        <v>9</v>
      </c>
      <c r="G38" s="196">
        <v>3696</v>
      </c>
      <c r="H38" s="197">
        <f t="shared" si="5"/>
        <v>1393.5515841383033</v>
      </c>
      <c r="I38" s="197">
        <f t="shared" si="1"/>
        <v>1266.7977110484107</v>
      </c>
      <c r="J38" s="198">
        <f t="shared" si="2"/>
        <v>4682084.3400349263</v>
      </c>
      <c r="K38" s="205">
        <f t="shared" si="13"/>
        <v>5150566.6549751693</v>
      </c>
      <c r="L38" s="204">
        <f t="shared" si="14"/>
        <v>-468482.31494024303</v>
      </c>
      <c r="M38" s="201">
        <f t="shared" si="7"/>
        <v>-25582.459652480222</v>
      </c>
      <c r="N38" s="202">
        <f t="shared" si="8"/>
        <v>-494064.77459272323</v>
      </c>
      <c r="O38" s="201">
        <f t="shared" si="9"/>
        <v>0</v>
      </c>
      <c r="P38" s="201">
        <f t="shared" si="10"/>
        <v>0</v>
      </c>
      <c r="Q38" s="201">
        <v>0</v>
      </c>
      <c r="R38" s="202">
        <f t="shared" si="11"/>
        <v>-494064.77459272323</v>
      </c>
    </row>
    <row r="39" spans="1:18" x14ac:dyDescent="0.2">
      <c r="A39" s="159">
        <v>8</v>
      </c>
      <c r="B39" s="194">
        <f t="shared" si="4"/>
        <v>44774</v>
      </c>
      <c r="C39" s="214">
        <f t="shared" si="12"/>
        <v>44809</v>
      </c>
      <c r="D39" s="214">
        <f t="shared" si="12"/>
        <v>44827</v>
      </c>
      <c r="E39" s="54" t="s">
        <v>22</v>
      </c>
      <c r="F39" s="159">
        <v>9</v>
      </c>
      <c r="G39" s="196">
        <v>3632</v>
      </c>
      <c r="H39" s="197">
        <f t="shared" si="5"/>
        <v>1393.5515841383033</v>
      </c>
      <c r="I39" s="197">
        <f t="shared" si="1"/>
        <v>1266.7977110484107</v>
      </c>
      <c r="J39" s="198">
        <f t="shared" si="2"/>
        <v>4601009.2865278274</v>
      </c>
      <c r="K39" s="205">
        <f t="shared" si="13"/>
        <v>5061379.3535903171</v>
      </c>
      <c r="L39" s="204">
        <f t="shared" si="14"/>
        <v>-460370.06706248969</v>
      </c>
      <c r="M39" s="201">
        <f t="shared" si="7"/>
        <v>-25139.473338151558</v>
      </c>
      <c r="N39" s="202">
        <f t="shared" si="8"/>
        <v>-485509.54040064127</v>
      </c>
      <c r="O39" s="201">
        <f t="shared" si="9"/>
        <v>0</v>
      </c>
      <c r="P39" s="201">
        <f t="shared" si="10"/>
        <v>0</v>
      </c>
      <c r="Q39" s="201">
        <v>0</v>
      </c>
      <c r="R39" s="202">
        <f t="shared" si="11"/>
        <v>-485509.54040064127</v>
      </c>
    </row>
    <row r="40" spans="1:18" x14ac:dyDescent="0.2">
      <c r="A40" s="159">
        <v>9</v>
      </c>
      <c r="B40" s="194">
        <f t="shared" si="4"/>
        <v>44805</v>
      </c>
      <c r="C40" s="214">
        <f t="shared" si="12"/>
        <v>44839</v>
      </c>
      <c r="D40" s="214">
        <f t="shared" si="12"/>
        <v>44859</v>
      </c>
      <c r="E40" s="54" t="s">
        <v>22</v>
      </c>
      <c r="F40" s="159">
        <v>9</v>
      </c>
      <c r="G40" s="196">
        <v>3337</v>
      </c>
      <c r="H40" s="197">
        <f t="shared" si="5"/>
        <v>1393.5515841383033</v>
      </c>
      <c r="I40" s="197">
        <f t="shared" si="1"/>
        <v>1266.7977110484107</v>
      </c>
      <c r="J40" s="198">
        <f t="shared" si="2"/>
        <v>4227303.9617685471</v>
      </c>
      <c r="K40" s="205">
        <f t="shared" si="13"/>
        <v>4650281.6362695182</v>
      </c>
      <c r="L40" s="204">
        <f t="shared" si="14"/>
        <v>-422977.6745009711</v>
      </c>
      <c r="M40" s="201">
        <f t="shared" si="7"/>
        <v>-23097.583295542881</v>
      </c>
      <c r="N40" s="202">
        <f t="shared" si="8"/>
        <v>-446075.25779651396</v>
      </c>
      <c r="O40" s="201">
        <f t="shared" si="9"/>
        <v>0</v>
      </c>
      <c r="P40" s="201">
        <f t="shared" si="10"/>
        <v>0</v>
      </c>
      <c r="Q40" s="201">
        <v>0</v>
      </c>
      <c r="R40" s="202">
        <f t="shared" si="11"/>
        <v>-446075.25779651396</v>
      </c>
    </row>
    <row r="41" spans="1:18" x14ac:dyDescent="0.2">
      <c r="A41" s="125">
        <v>10</v>
      </c>
      <c r="B41" s="194">
        <f t="shared" si="4"/>
        <v>44835</v>
      </c>
      <c r="C41" s="214">
        <f t="shared" si="12"/>
        <v>44868</v>
      </c>
      <c r="D41" s="214">
        <f t="shared" si="12"/>
        <v>44888</v>
      </c>
      <c r="E41" s="54" t="s">
        <v>22</v>
      </c>
      <c r="F41" s="159">
        <v>9</v>
      </c>
      <c r="G41" s="196">
        <v>2496</v>
      </c>
      <c r="H41" s="197">
        <f t="shared" si="5"/>
        <v>1393.5515841383033</v>
      </c>
      <c r="I41" s="197">
        <f t="shared" si="1"/>
        <v>1266.7977110484107</v>
      </c>
      <c r="J41" s="198">
        <f t="shared" si="2"/>
        <v>3161927.086776833</v>
      </c>
      <c r="K41" s="205">
        <f t="shared" si="13"/>
        <v>3478304.7540092049</v>
      </c>
      <c r="L41" s="204">
        <f t="shared" si="14"/>
        <v>-316377.66723237187</v>
      </c>
      <c r="M41" s="201">
        <f t="shared" si="7"/>
        <v>-17276.466258817811</v>
      </c>
      <c r="N41" s="202">
        <f t="shared" si="8"/>
        <v>-333654.13349118968</v>
      </c>
      <c r="O41" s="201">
        <f t="shared" si="9"/>
        <v>0</v>
      </c>
      <c r="P41" s="201">
        <f t="shared" si="10"/>
        <v>0</v>
      </c>
      <c r="Q41" s="201">
        <v>0</v>
      </c>
      <c r="R41" s="202">
        <f t="shared" si="11"/>
        <v>-333654.13349118968</v>
      </c>
    </row>
    <row r="42" spans="1:18" x14ac:dyDescent="0.2">
      <c r="A42" s="159">
        <v>11</v>
      </c>
      <c r="B42" s="194">
        <f t="shared" si="4"/>
        <v>44866</v>
      </c>
      <c r="C42" s="214">
        <f t="shared" si="12"/>
        <v>44900</v>
      </c>
      <c r="D42" s="214">
        <f t="shared" si="12"/>
        <v>44918</v>
      </c>
      <c r="E42" s="54" t="s">
        <v>22</v>
      </c>
      <c r="F42" s="159">
        <v>9</v>
      </c>
      <c r="G42" s="196">
        <v>2518</v>
      </c>
      <c r="H42" s="197">
        <f t="shared" si="5"/>
        <v>1393.5515841383033</v>
      </c>
      <c r="I42" s="197">
        <f t="shared" si="1"/>
        <v>1266.7977110484107</v>
      </c>
      <c r="J42" s="198">
        <f t="shared" si="2"/>
        <v>3189796.6364198984</v>
      </c>
      <c r="K42" s="205">
        <f t="shared" si="13"/>
        <v>3508962.8888602476</v>
      </c>
      <c r="L42" s="204">
        <f t="shared" si="14"/>
        <v>-319166.2524403492</v>
      </c>
      <c r="M42" s="201">
        <f t="shared" si="7"/>
        <v>-17428.742804368288</v>
      </c>
      <c r="N42" s="202">
        <f t="shared" si="8"/>
        <v>-336594.99524471746</v>
      </c>
      <c r="O42" s="201">
        <f t="shared" si="9"/>
        <v>0</v>
      </c>
      <c r="P42" s="201">
        <f t="shared" si="10"/>
        <v>0</v>
      </c>
      <c r="Q42" s="201">
        <v>0</v>
      </c>
      <c r="R42" s="202">
        <f t="shared" si="11"/>
        <v>-336594.99524471746</v>
      </c>
    </row>
    <row r="43" spans="1:18" x14ac:dyDescent="0.2">
      <c r="A43" s="159">
        <v>12</v>
      </c>
      <c r="B43" s="194">
        <f t="shared" si="4"/>
        <v>44896</v>
      </c>
      <c r="C43" s="214">
        <f t="shared" si="12"/>
        <v>44930</v>
      </c>
      <c r="D43" s="214">
        <f t="shared" si="12"/>
        <v>44950</v>
      </c>
      <c r="E43" s="54" t="s">
        <v>22</v>
      </c>
      <c r="F43" s="159">
        <v>9</v>
      </c>
      <c r="G43" s="196">
        <v>3399</v>
      </c>
      <c r="H43" s="206">
        <f t="shared" si="5"/>
        <v>1393.5515841383033</v>
      </c>
      <c r="I43" s="206">
        <f t="shared" si="1"/>
        <v>1266.7977110484107</v>
      </c>
      <c r="J43" s="207">
        <f t="shared" si="2"/>
        <v>4305845.4198535485</v>
      </c>
      <c r="K43" s="208">
        <f t="shared" si="13"/>
        <v>4736681.8344860924</v>
      </c>
      <c r="L43" s="209">
        <f t="shared" si="14"/>
        <v>-430836.41463254392</v>
      </c>
      <c r="M43" s="201">
        <f t="shared" si="7"/>
        <v>-23526.726287548772</v>
      </c>
      <c r="N43" s="202">
        <f t="shared" si="8"/>
        <v>-454363.1409200927</v>
      </c>
      <c r="O43" s="201">
        <f t="shared" si="9"/>
        <v>0</v>
      </c>
      <c r="P43" s="201">
        <f t="shared" si="10"/>
        <v>0</v>
      </c>
      <c r="Q43" s="201">
        <v>0</v>
      </c>
      <c r="R43" s="202">
        <f t="shared" si="11"/>
        <v>-454363.1409200927</v>
      </c>
    </row>
    <row r="44" spans="1:18" x14ac:dyDescent="0.2">
      <c r="A44" s="125">
        <v>1</v>
      </c>
      <c r="B44" s="210">
        <f t="shared" ref="B44:B55" si="15">DATE($R$1,A44,1)</f>
        <v>44562</v>
      </c>
      <c r="C44" s="211">
        <f t="shared" ref="C44:D55" si="16">+C32</f>
        <v>44595</v>
      </c>
      <c r="D44" s="211">
        <f t="shared" si="16"/>
        <v>44615</v>
      </c>
      <c r="E44" s="212" t="s">
        <v>83</v>
      </c>
      <c r="F44" s="213">
        <v>9</v>
      </c>
      <c r="G44" s="196">
        <v>163</v>
      </c>
      <c r="H44" s="197">
        <f t="shared" si="5"/>
        <v>1393.5515841383033</v>
      </c>
      <c r="I44" s="197">
        <f t="shared" si="1"/>
        <v>1266.7977110484107</v>
      </c>
      <c r="J44" s="201">
        <f t="shared" ref="J44:J55" si="17">+$G44*I44</f>
        <v>206488.02690089095</v>
      </c>
      <c r="K44" s="205">
        <f t="shared" ref="K44:K55" si="18">+$G44*H44</f>
        <v>227148.90821454342</v>
      </c>
      <c r="L44" s="204">
        <f t="shared" ref="L44:L55" si="19">+J44-K44</f>
        <v>-20660.88131365247</v>
      </c>
      <c r="M44" s="201">
        <f t="shared" si="7"/>
        <v>-1128.2307693058106</v>
      </c>
      <c r="N44" s="202">
        <f t="shared" si="8"/>
        <v>-21789.11208295828</v>
      </c>
      <c r="O44" s="201">
        <f t="shared" si="9"/>
        <v>0</v>
      </c>
      <c r="P44" s="201">
        <f t="shared" si="10"/>
        <v>0</v>
      </c>
      <c r="Q44" s="201">
        <v>0</v>
      </c>
      <c r="R44" s="202">
        <f t="shared" si="11"/>
        <v>-21789.11208295828</v>
      </c>
    </row>
    <row r="45" spans="1:18" x14ac:dyDescent="0.2">
      <c r="A45" s="159">
        <v>2</v>
      </c>
      <c r="B45" s="194">
        <f t="shared" si="15"/>
        <v>44593</v>
      </c>
      <c r="C45" s="214">
        <f t="shared" si="16"/>
        <v>44623</v>
      </c>
      <c r="D45" s="214">
        <f t="shared" si="16"/>
        <v>44642</v>
      </c>
      <c r="E45" s="203" t="s">
        <v>83</v>
      </c>
      <c r="F45" s="159">
        <v>9</v>
      </c>
      <c r="G45" s="196">
        <v>155</v>
      </c>
      <c r="H45" s="197">
        <f t="shared" si="5"/>
        <v>1393.5515841383033</v>
      </c>
      <c r="I45" s="197">
        <f t="shared" si="1"/>
        <v>1266.7977110484107</v>
      </c>
      <c r="J45" s="201">
        <f t="shared" si="17"/>
        <v>196353.64521250367</v>
      </c>
      <c r="K45" s="205">
        <f t="shared" si="18"/>
        <v>216000.49554143701</v>
      </c>
      <c r="L45" s="204">
        <f t="shared" si="19"/>
        <v>-19646.850328933331</v>
      </c>
      <c r="M45" s="201">
        <f t="shared" si="7"/>
        <v>-1072.8574800147278</v>
      </c>
      <c r="N45" s="202">
        <f t="shared" si="8"/>
        <v>-20719.70780894806</v>
      </c>
      <c r="O45" s="201">
        <f t="shared" si="9"/>
        <v>0</v>
      </c>
      <c r="P45" s="201">
        <f t="shared" si="10"/>
        <v>0</v>
      </c>
      <c r="Q45" s="201">
        <v>0</v>
      </c>
      <c r="R45" s="202">
        <f t="shared" si="11"/>
        <v>-20719.70780894806</v>
      </c>
    </row>
    <row r="46" spans="1:18" x14ac:dyDescent="0.2">
      <c r="A46" s="159">
        <v>3</v>
      </c>
      <c r="B46" s="194">
        <f t="shared" si="15"/>
        <v>44621</v>
      </c>
      <c r="C46" s="214">
        <f t="shared" si="16"/>
        <v>44656</v>
      </c>
      <c r="D46" s="214">
        <f t="shared" si="16"/>
        <v>44676</v>
      </c>
      <c r="E46" s="203" t="s">
        <v>83</v>
      </c>
      <c r="F46" s="159">
        <v>9</v>
      </c>
      <c r="G46" s="196">
        <v>141</v>
      </c>
      <c r="H46" s="197">
        <f t="shared" si="5"/>
        <v>1393.5515841383033</v>
      </c>
      <c r="I46" s="197">
        <f t="shared" si="1"/>
        <v>1266.7977110484107</v>
      </c>
      <c r="J46" s="201">
        <f t="shared" si="17"/>
        <v>178618.47725782593</v>
      </c>
      <c r="K46" s="205">
        <f t="shared" si="18"/>
        <v>196490.77336350078</v>
      </c>
      <c r="L46" s="204">
        <f t="shared" si="19"/>
        <v>-17872.296105674846</v>
      </c>
      <c r="M46" s="201">
        <f t="shared" si="7"/>
        <v>-975.95422375533315</v>
      </c>
      <c r="N46" s="202">
        <f t="shared" si="8"/>
        <v>-18848.250329430179</v>
      </c>
      <c r="O46" s="201">
        <f t="shared" si="9"/>
        <v>0</v>
      </c>
      <c r="P46" s="201">
        <f t="shared" si="10"/>
        <v>0</v>
      </c>
      <c r="Q46" s="201">
        <v>0</v>
      </c>
      <c r="R46" s="202">
        <f t="shared" si="11"/>
        <v>-18848.250329430179</v>
      </c>
    </row>
    <row r="47" spans="1:18" x14ac:dyDescent="0.2">
      <c r="A47" s="125">
        <v>4</v>
      </c>
      <c r="B47" s="194">
        <f t="shared" si="15"/>
        <v>44652</v>
      </c>
      <c r="C47" s="214">
        <f t="shared" si="16"/>
        <v>44685</v>
      </c>
      <c r="D47" s="214">
        <f t="shared" si="16"/>
        <v>44705</v>
      </c>
      <c r="E47" s="203" t="s">
        <v>83</v>
      </c>
      <c r="F47" s="159">
        <v>9</v>
      </c>
      <c r="G47" s="196">
        <v>92</v>
      </c>
      <c r="H47" s="197">
        <f t="shared" si="5"/>
        <v>1393.5515841383033</v>
      </c>
      <c r="I47" s="197">
        <f t="shared" si="1"/>
        <v>1266.7977110484107</v>
      </c>
      <c r="J47" s="201">
        <f t="shared" si="17"/>
        <v>116545.38941645379</v>
      </c>
      <c r="K47" s="205">
        <f t="shared" si="18"/>
        <v>128206.7457407239</v>
      </c>
      <c r="L47" s="204">
        <f t="shared" si="19"/>
        <v>-11661.356324270106</v>
      </c>
      <c r="M47" s="201">
        <f t="shared" si="7"/>
        <v>-636.79282684745135</v>
      </c>
      <c r="N47" s="202">
        <f t="shared" si="8"/>
        <v>-12298.149151117557</v>
      </c>
      <c r="O47" s="201">
        <f t="shared" si="9"/>
        <v>0</v>
      </c>
      <c r="P47" s="201">
        <f t="shared" si="10"/>
        <v>0</v>
      </c>
      <c r="Q47" s="201">
        <v>0</v>
      </c>
      <c r="R47" s="202">
        <f t="shared" si="11"/>
        <v>-12298.149151117557</v>
      </c>
    </row>
    <row r="48" spans="1:18" x14ac:dyDescent="0.2">
      <c r="A48" s="159">
        <v>5</v>
      </c>
      <c r="B48" s="194">
        <f t="shared" si="15"/>
        <v>44682</v>
      </c>
      <c r="C48" s="214">
        <f t="shared" si="16"/>
        <v>44715</v>
      </c>
      <c r="D48" s="214">
        <f t="shared" si="16"/>
        <v>44735</v>
      </c>
      <c r="E48" s="203" t="s">
        <v>83</v>
      </c>
      <c r="F48" s="159">
        <v>9</v>
      </c>
      <c r="G48" s="196">
        <v>131</v>
      </c>
      <c r="H48" s="197">
        <f t="shared" si="5"/>
        <v>1393.5515841383033</v>
      </c>
      <c r="I48" s="197">
        <f t="shared" si="1"/>
        <v>1266.7977110484107</v>
      </c>
      <c r="J48" s="201">
        <f t="shared" si="17"/>
        <v>165950.50014734181</v>
      </c>
      <c r="K48" s="205">
        <f t="shared" si="18"/>
        <v>182555.25752211772</v>
      </c>
      <c r="L48" s="204">
        <f t="shared" si="19"/>
        <v>-16604.757374775916</v>
      </c>
      <c r="M48" s="201">
        <f t="shared" si="7"/>
        <v>-906.73761214147964</v>
      </c>
      <c r="N48" s="202">
        <f t="shared" si="8"/>
        <v>-17511.494986917394</v>
      </c>
      <c r="O48" s="201">
        <f t="shared" si="9"/>
        <v>0</v>
      </c>
      <c r="P48" s="201">
        <f t="shared" si="10"/>
        <v>0</v>
      </c>
      <c r="Q48" s="201">
        <v>0</v>
      </c>
      <c r="R48" s="202">
        <f t="shared" si="11"/>
        <v>-17511.494986917394</v>
      </c>
    </row>
    <row r="49" spans="1:18" x14ac:dyDescent="0.2">
      <c r="A49" s="159">
        <v>6</v>
      </c>
      <c r="B49" s="194">
        <f t="shared" si="15"/>
        <v>44713</v>
      </c>
      <c r="C49" s="214">
        <f t="shared" si="16"/>
        <v>44747</v>
      </c>
      <c r="D49" s="214">
        <f t="shared" si="16"/>
        <v>44767</v>
      </c>
      <c r="E49" s="203" t="s">
        <v>83</v>
      </c>
      <c r="F49" s="159">
        <v>9</v>
      </c>
      <c r="G49" s="196">
        <v>152</v>
      </c>
      <c r="H49" s="197">
        <f t="shared" si="5"/>
        <v>1393.5515841383033</v>
      </c>
      <c r="I49" s="197">
        <f t="shared" si="1"/>
        <v>1266.7977110484107</v>
      </c>
      <c r="J49" s="201">
        <f t="shared" si="17"/>
        <v>192553.25207935844</v>
      </c>
      <c r="K49" s="205">
        <f t="shared" si="18"/>
        <v>211819.8407890221</v>
      </c>
      <c r="L49" s="204">
        <f t="shared" si="19"/>
        <v>-19266.588709663658</v>
      </c>
      <c r="M49" s="201">
        <f t="shared" si="7"/>
        <v>-1052.0924965305719</v>
      </c>
      <c r="N49" s="202">
        <f t="shared" si="8"/>
        <v>-20318.681206194229</v>
      </c>
      <c r="O49" s="201">
        <f t="shared" si="9"/>
        <v>0</v>
      </c>
      <c r="P49" s="201">
        <f t="shared" si="10"/>
        <v>0</v>
      </c>
      <c r="Q49" s="201">
        <v>0</v>
      </c>
      <c r="R49" s="202">
        <f t="shared" si="11"/>
        <v>-20318.681206194229</v>
      </c>
    </row>
    <row r="50" spans="1:18" x14ac:dyDescent="0.2">
      <c r="A50" s="125">
        <v>7</v>
      </c>
      <c r="B50" s="194">
        <f t="shared" si="15"/>
        <v>44743</v>
      </c>
      <c r="C50" s="214">
        <f t="shared" si="16"/>
        <v>44776</v>
      </c>
      <c r="D50" s="214">
        <f t="shared" si="16"/>
        <v>44796</v>
      </c>
      <c r="E50" s="203" t="s">
        <v>83</v>
      </c>
      <c r="F50" s="159">
        <v>9</v>
      </c>
      <c r="G50" s="196">
        <v>149</v>
      </c>
      <c r="H50" s="197">
        <f t="shared" si="5"/>
        <v>1393.5515841383033</v>
      </c>
      <c r="I50" s="197">
        <f t="shared" si="1"/>
        <v>1266.7977110484107</v>
      </c>
      <c r="J50" s="201">
        <f t="shared" si="17"/>
        <v>188752.85894621321</v>
      </c>
      <c r="K50" s="205">
        <f t="shared" si="18"/>
        <v>207639.18603660719</v>
      </c>
      <c r="L50" s="204">
        <f t="shared" si="19"/>
        <v>-18886.327090393985</v>
      </c>
      <c r="M50" s="201">
        <f t="shared" si="7"/>
        <v>-1031.3275130464158</v>
      </c>
      <c r="N50" s="202">
        <f t="shared" si="8"/>
        <v>-19917.654603440402</v>
      </c>
      <c r="O50" s="201">
        <f t="shared" si="9"/>
        <v>0</v>
      </c>
      <c r="P50" s="201">
        <f t="shared" si="10"/>
        <v>0</v>
      </c>
      <c r="Q50" s="201">
        <v>0</v>
      </c>
      <c r="R50" s="202">
        <f t="shared" si="11"/>
        <v>-19917.654603440402</v>
      </c>
    </row>
    <row r="51" spans="1:18" x14ac:dyDescent="0.2">
      <c r="A51" s="159">
        <v>8</v>
      </c>
      <c r="B51" s="194">
        <f t="shared" si="15"/>
        <v>44774</v>
      </c>
      <c r="C51" s="214">
        <f t="shared" si="16"/>
        <v>44809</v>
      </c>
      <c r="D51" s="214">
        <f t="shared" si="16"/>
        <v>44827</v>
      </c>
      <c r="E51" s="203" t="s">
        <v>83</v>
      </c>
      <c r="F51" s="159">
        <v>9</v>
      </c>
      <c r="G51" s="196">
        <v>137</v>
      </c>
      <c r="H51" s="197">
        <f t="shared" si="5"/>
        <v>1393.5515841383033</v>
      </c>
      <c r="I51" s="197">
        <f t="shared" si="1"/>
        <v>1266.7977110484107</v>
      </c>
      <c r="J51" s="201">
        <f t="shared" si="17"/>
        <v>173551.28641363228</v>
      </c>
      <c r="K51" s="205">
        <f t="shared" si="18"/>
        <v>190916.56702694754</v>
      </c>
      <c r="L51" s="204">
        <f t="shared" si="19"/>
        <v>-17365.280613315263</v>
      </c>
      <c r="M51" s="201">
        <f t="shared" si="7"/>
        <v>-948.26757910979165</v>
      </c>
      <c r="N51" s="202">
        <f t="shared" si="8"/>
        <v>-18313.548192425053</v>
      </c>
      <c r="O51" s="201">
        <f t="shared" si="9"/>
        <v>0</v>
      </c>
      <c r="P51" s="201">
        <f t="shared" si="10"/>
        <v>0</v>
      </c>
      <c r="Q51" s="201">
        <v>0</v>
      </c>
      <c r="R51" s="202">
        <f t="shared" si="11"/>
        <v>-18313.548192425053</v>
      </c>
    </row>
    <row r="52" spans="1:18" x14ac:dyDescent="0.2">
      <c r="A52" s="159">
        <v>9</v>
      </c>
      <c r="B52" s="194">
        <f t="shared" si="15"/>
        <v>44805</v>
      </c>
      <c r="C52" s="214">
        <f t="shared" si="16"/>
        <v>44839</v>
      </c>
      <c r="D52" s="214">
        <f t="shared" si="16"/>
        <v>44859</v>
      </c>
      <c r="E52" s="203" t="s">
        <v>83</v>
      </c>
      <c r="F52" s="159">
        <v>9</v>
      </c>
      <c r="G52" s="196">
        <v>136</v>
      </c>
      <c r="H52" s="197">
        <f t="shared" si="5"/>
        <v>1393.5515841383033</v>
      </c>
      <c r="I52" s="197">
        <f t="shared" si="1"/>
        <v>1266.7977110484107</v>
      </c>
      <c r="J52" s="201">
        <f t="shared" si="17"/>
        <v>172284.48870258385</v>
      </c>
      <c r="K52" s="205">
        <f t="shared" si="18"/>
        <v>189523.01544280924</v>
      </c>
      <c r="L52" s="204">
        <f t="shared" si="19"/>
        <v>-17238.526740225381</v>
      </c>
      <c r="M52" s="201">
        <f t="shared" si="7"/>
        <v>-941.3459179484064</v>
      </c>
      <c r="N52" s="202">
        <f t="shared" si="8"/>
        <v>-18179.872658173786</v>
      </c>
      <c r="O52" s="201">
        <f t="shared" si="9"/>
        <v>0</v>
      </c>
      <c r="P52" s="201">
        <f t="shared" si="10"/>
        <v>0</v>
      </c>
      <c r="Q52" s="201">
        <v>0</v>
      </c>
      <c r="R52" s="202">
        <f t="shared" si="11"/>
        <v>-18179.872658173786</v>
      </c>
    </row>
    <row r="53" spans="1:18" x14ac:dyDescent="0.2">
      <c r="A53" s="125">
        <v>10</v>
      </c>
      <c r="B53" s="194">
        <f t="shared" si="15"/>
        <v>44835</v>
      </c>
      <c r="C53" s="214">
        <f t="shared" si="16"/>
        <v>44868</v>
      </c>
      <c r="D53" s="214">
        <f t="shared" si="16"/>
        <v>44888</v>
      </c>
      <c r="E53" s="203" t="s">
        <v>83</v>
      </c>
      <c r="F53" s="159">
        <v>9</v>
      </c>
      <c r="G53" s="196">
        <v>91</v>
      </c>
      <c r="H53" s="197">
        <f t="shared" si="5"/>
        <v>1393.5515841383033</v>
      </c>
      <c r="I53" s="197">
        <f t="shared" si="1"/>
        <v>1266.7977110484107</v>
      </c>
      <c r="J53" s="201">
        <f t="shared" si="17"/>
        <v>115278.59170540537</v>
      </c>
      <c r="K53" s="205">
        <f t="shared" si="18"/>
        <v>126813.1941565856</v>
      </c>
      <c r="L53" s="204">
        <f t="shared" si="19"/>
        <v>-11534.602451180224</v>
      </c>
      <c r="M53" s="201">
        <f t="shared" si="7"/>
        <v>-629.87116568606598</v>
      </c>
      <c r="N53" s="202">
        <f t="shared" si="8"/>
        <v>-12164.473616866289</v>
      </c>
      <c r="O53" s="201">
        <f t="shared" si="9"/>
        <v>0</v>
      </c>
      <c r="P53" s="201">
        <f t="shared" si="10"/>
        <v>0</v>
      </c>
      <c r="Q53" s="201">
        <v>0</v>
      </c>
      <c r="R53" s="202">
        <f t="shared" si="11"/>
        <v>-12164.473616866289</v>
      </c>
    </row>
    <row r="54" spans="1:18" x14ac:dyDescent="0.2">
      <c r="A54" s="159">
        <v>11</v>
      </c>
      <c r="B54" s="194">
        <f t="shared" si="15"/>
        <v>44866</v>
      </c>
      <c r="C54" s="214">
        <f t="shared" si="16"/>
        <v>44900</v>
      </c>
      <c r="D54" s="214">
        <f t="shared" si="16"/>
        <v>44918</v>
      </c>
      <c r="E54" s="203" t="s">
        <v>83</v>
      </c>
      <c r="F54" s="159">
        <v>9</v>
      </c>
      <c r="G54" s="196">
        <v>113</v>
      </c>
      <c r="H54" s="197">
        <f t="shared" si="5"/>
        <v>1393.5515841383033</v>
      </c>
      <c r="I54" s="197">
        <f t="shared" si="1"/>
        <v>1266.7977110484107</v>
      </c>
      <c r="J54" s="201">
        <f t="shared" si="17"/>
        <v>143148.14134847041</v>
      </c>
      <c r="K54" s="205">
        <f t="shared" si="18"/>
        <v>157471.32900762826</v>
      </c>
      <c r="L54" s="204">
        <f t="shared" si="19"/>
        <v>-14323.187659157848</v>
      </c>
      <c r="M54" s="201">
        <f t="shared" si="7"/>
        <v>-782.1477112365435</v>
      </c>
      <c r="N54" s="202">
        <f t="shared" si="8"/>
        <v>-15105.33537039439</v>
      </c>
      <c r="O54" s="201">
        <f t="shared" si="9"/>
        <v>0</v>
      </c>
      <c r="P54" s="201">
        <f t="shared" si="10"/>
        <v>0</v>
      </c>
      <c r="Q54" s="201">
        <v>0</v>
      </c>
      <c r="R54" s="202">
        <f t="shared" si="11"/>
        <v>-15105.33537039439</v>
      </c>
    </row>
    <row r="55" spans="1:18" x14ac:dyDescent="0.2">
      <c r="A55" s="159">
        <v>12</v>
      </c>
      <c r="B55" s="194">
        <f t="shared" si="15"/>
        <v>44896</v>
      </c>
      <c r="C55" s="214">
        <f t="shared" si="16"/>
        <v>44930</v>
      </c>
      <c r="D55" s="214">
        <f t="shared" si="16"/>
        <v>44950</v>
      </c>
      <c r="E55" s="203" t="s">
        <v>83</v>
      </c>
      <c r="F55" s="159">
        <v>9</v>
      </c>
      <c r="G55" s="196">
        <v>210</v>
      </c>
      <c r="H55" s="206">
        <f t="shared" si="5"/>
        <v>1393.5515841383033</v>
      </c>
      <c r="I55" s="206">
        <f t="shared" si="1"/>
        <v>1266.7977110484107</v>
      </c>
      <c r="J55" s="207">
        <f t="shared" si="17"/>
        <v>266027.51932016626</v>
      </c>
      <c r="K55" s="208">
        <f t="shared" si="18"/>
        <v>292645.83266904368</v>
      </c>
      <c r="L55" s="209">
        <f t="shared" si="19"/>
        <v>-26618.313348877418</v>
      </c>
      <c r="M55" s="201">
        <f t="shared" si="7"/>
        <v>-1453.5488438909217</v>
      </c>
      <c r="N55" s="202">
        <f t="shared" si="8"/>
        <v>-28071.862192768342</v>
      </c>
      <c r="O55" s="201">
        <f t="shared" si="9"/>
        <v>0</v>
      </c>
      <c r="P55" s="201">
        <f t="shared" si="10"/>
        <v>0</v>
      </c>
      <c r="Q55" s="201">
        <v>0</v>
      </c>
      <c r="R55" s="202">
        <f t="shared" si="11"/>
        <v>-28071.862192768342</v>
      </c>
    </row>
    <row r="56" spans="1:18" s="215" customFormat="1" x14ac:dyDescent="0.2">
      <c r="A56" s="125">
        <v>1</v>
      </c>
      <c r="B56" s="210">
        <f t="shared" si="4"/>
        <v>44562</v>
      </c>
      <c r="C56" s="211">
        <f t="shared" ref="C56:D67" si="20">+C32</f>
        <v>44595</v>
      </c>
      <c r="D56" s="211">
        <f t="shared" si="20"/>
        <v>44615</v>
      </c>
      <c r="E56" s="212" t="s">
        <v>14</v>
      </c>
      <c r="F56" s="213">
        <v>9</v>
      </c>
      <c r="G56" s="196">
        <v>893</v>
      </c>
      <c r="H56" s="197">
        <f t="shared" si="5"/>
        <v>1393.5515841383033</v>
      </c>
      <c r="I56" s="197">
        <f t="shared" si="1"/>
        <v>1266.7977110484107</v>
      </c>
      <c r="J56" s="198">
        <f>+$G56*I56</f>
        <v>1131250.3559662309</v>
      </c>
      <c r="K56" s="199">
        <f t="shared" si="13"/>
        <v>1244441.5646355047</v>
      </c>
      <c r="L56" s="200">
        <f t="shared" si="14"/>
        <v>-113191.20866927388</v>
      </c>
      <c r="M56" s="201">
        <f t="shared" si="7"/>
        <v>-6181.0434171171091</v>
      </c>
      <c r="N56" s="202">
        <f t="shared" si="8"/>
        <v>-119372.25208639099</v>
      </c>
      <c r="O56" s="201">
        <f t="shared" si="9"/>
        <v>0</v>
      </c>
      <c r="P56" s="201">
        <f t="shared" si="10"/>
        <v>0</v>
      </c>
      <c r="Q56" s="201">
        <v>0</v>
      </c>
      <c r="R56" s="202">
        <f t="shared" si="11"/>
        <v>-119372.25208639099</v>
      </c>
    </row>
    <row r="57" spans="1:18" x14ac:dyDescent="0.2">
      <c r="A57" s="159">
        <v>2</v>
      </c>
      <c r="B57" s="194">
        <f t="shared" si="4"/>
        <v>44593</v>
      </c>
      <c r="C57" s="214">
        <f t="shared" si="20"/>
        <v>44623</v>
      </c>
      <c r="D57" s="214">
        <f t="shared" si="20"/>
        <v>44642</v>
      </c>
      <c r="E57" s="203" t="s">
        <v>14</v>
      </c>
      <c r="F57" s="159">
        <v>9</v>
      </c>
      <c r="G57" s="196">
        <v>796</v>
      </c>
      <c r="H57" s="197">
        <f t="shared" si="5"/>
        <v>1393.5515841383033</v>
      </c>
      <c r="I57" s="197">
        <f t="shared" si="1"/>
        <v>1266.7977110484107</v>
      </c>
      <c r="J57" s="198">
        <f t="shared" si="2"/>
        <v>1008370.977994535</v>
      </c>
      <c r="K57" s="199">
        <f t="shared" si="13"/>
        <v>1109267.0609740894</v>
      </c>
      <c r="L57" s="200">
        <f t="shared" si="14"/>
        <v>-100896.08297955443</v>
      </c>
      <c r="M57" s="201">
        <f t="shared" si="7"/>
        <v>-5509.6422844627314</v>
      </c>
      <c r="N57" s="202">
        <f t="shared" si="8"/>
        <v>-106405.72526401716</v>
      </c>
      <c r="O57" s="201">
        <f t="shared" si="9"/>
        <v>0</v>
      </c>
      <c r="P57" s="201">
        <f t="shared" si="10"/>
        <v>0</v>
      </c>
      <c r="Q57" s="201">
        <v>0</v>
      </c>
      <c r="R57" s="202">
        <f t="shared" si="11"/>
        <v>-106405.72526401716</v>
      </c>
    </row>
    <row r="58" spans="1:18" x14ac:dyDescent="0.2">
      <c r="A58" s="159">
        <v>3</v>
      </c>
      <c r="B58" s="194">
        <f t="shared" si="4"/>
        <v>44621</v>
      </c>
      <c r="C58" s="214">
        <f t="shared" si="20"/>
        <v>44656</v>
      </c>
      <c r="D58" s="214">
        <f t="shared" si="20"/>
        <v>44676</v>
      </c>
      <c r="E58" s="203" t="s">
        <v>14</v>
      </c>
      <c r="F58" s="159">
        <v>9</v>
      </c>
      <c r="G58" s="196">
        <v>700</v>
      </c>
      <c r="H58" s="197">
        <f t="shared" si="5"/>
        <v>1393.5515841383033</v>
      </c>
      <c r="I58" s="197">
        <f t="shared" si="1"/>
        <v>1266.7977110484107</v>
      </c>
      <c r="J58" s="198">
        <f t="shared" si="2"/>
        <v>886758.39773388754</v>
      </c>
      <c r="K58" s="199">
        <f t="shared" si="13"/>
        <v>975486.10889681231</v>
      </c>
      <c r="L58" s="200">
        <f>+J58-K58</f>
        <v>-88727.711162924767</v>
      </c>
      <c r="M58" s="201">
        <f t="shared" si="7"/>
        <v>-4845.1628129697383</v>
      </c>
      <c r="N58" s="202">
        <f t="shared" si="8"/>
        <v>-93572.873975894501</v>
      </c>
      <c r="O58" s="201">
        <f t="shared" si="9"/>
        <v>0</v>
      </c>
      <c r="P58" s="201">
        <f t="shared" si="10"/>
        <v>0</v>
      </c>
      <c r="Q58" s="201">
        <v>0</v>
      </c>
      <c r="R58" s="202">
        <f t="shared" si="11"/>
        <v>-93572.873975894501</v>
      </c>
    </row>
    <row r="59" spans="1:18" x14ac:dyDescent="0.2">
      <c r="A59" s="125">
        <v>4</v>
      </c>
      <c r="B59" s="194">
        <f t="shared" si="4"/>
        <v>44652</v>
      </c>
      <c r="C59" s="214">
        <f t="shared" si="20"/>
        <v>44685</v>
      </c>
      <c r="D59" s="214">
        <f t="shared" si="20"/>
        <v>44705</v>
      </c>
      <c r="E59" s="203" t="s">
        <v>14</v>
      </c>
      <c r="F59" s="159">
        <v>9</v>
      </c>
      <c r="G59" s="196">
        <v>549</v>
      </c>
      <c r="H59" s="197">
        <f t="shared" si="5"/>
        <v>1393.5515841383033</v>
      </c>
      <c r="I59" s="197">
        <f t="shared" si="1"/>
        <v>1266.7977110484107</v>
      </c>
      <c r="J59" s="198">
        <f t="shared" si="2"/>
        <v>695471.94336557749</v>
      </c>
      <c r="K59" s="199">
        <f t="shared" si="13"/>
        <v>765059.81969192845</v>
      </c>
      <c r="L59" s="200">
        <f t="shared" ref="L59:L81" si="21">+J59-K59</f>
        <v>-69587.876326350961</v>
      </c>
      <c r="M59" s="201">
        <f t="shared" si="7"/>
        <v>-3799.9919776005522</v>
      </c>
      <c r="N59" s="202">
        <f t="shared" si="8"/>
        <v>-73387.868303951516</v>
      </c>
      <c r="O59" s="201">
        <f t="shared" si="9"/>
        <v>0</v>
      </c>
      <c r="P59" s="201">
        <f t="shared" si="10"/>
        <v>0</v>
      </c>
      <c r="Q59" s="201">
        <v>0</v>
      </c>
      <c r="R59" s="202">
        <f t="shared" si="11"/>
        <v>-73387.868303951516</v>
      </c>
    </row>
    <row r="60" spans="1:18" x14ac:dyDescent="0.2">
      <c r="A60" s="159">
        <v>5</v>
      </c>
      <c r="B60" s="194">
        <f t="shared" si="4"/>
        <v>44682</v>
      </c>
      <c r="C60" s="214">
        <f t="shared" si="20"/>
        <v>44715</v>
      </c>
      <c r="D60" s="214">
        <f t="shared" si="20"/>
        <v>44735</v>
      </c>
      <c r="E60" s="54" t="s">
        <v>14</v>
      </c>
      <c r="F60" s="159">
        <v>9</v>
      </c>
      <c r="G60" s="196">
        <v>753</v>
      </c>
      <c r="H60" s="197">
        <f t="shared" si="5"/>
        <v>1393.5515841383033</v>
      </c>
      <c r="I60" s="197">
        <f t="shared" si="1"/>
        <v>1266.7977110484107</v>
      </c>
      <c r="J60" s="198">
        <f t="shared" si="2"/>
        <v>953898.67641945335</v>
      </c>
      <c r="K60" s="199">
        <f t="shared" si="13"/>
        <v>1049344.3428561424</v>
      </c>
      <c r="L60" s="200">
        <f t="shared" si="21"/>
        <v>-95445.666436689091</v>
      </c>
      <c r="M60" s="201">
        <f t="shared" si="7"/>
        <v>-5212.0108545231615</v>
      </c>
      <c r="N60" s="202">
        <f t="shared" si="8"/>
        <v>-100657.67729121225</v>
      </c>
      <c r="O60" s="201">
        <f t="shared" si="9"/>
        <v>0</v>
      </c>
      <c r="P60" s="201">
        <f t="shared" si="10"/>
        <v>0</v>
      </c>
      <c r="Q60" s="201">
        <v>0</v>
      </c>
      <c r="R60" s="202">
        <f t="shared" si="11"/>
        <v>-100657.67729121225</v>
      </c>
    </row>
    <row r="61" spans="1:18" x14ac:dyDescent="0.2">
      <c r="A61" s="159">
        <v>6</v>
      </c>
      <c r="B61" s="194">
        <f t="shared" si="4"/>
        <v>44713</v>
      </c>
      <c r="C61" s="214">
        <f t="shared" si="20"/>
        <v>44747</v>
      </c>
      <c r="D61" s="214">
        <f t="shared" si="20"/>
        <v>44767</v>
      </c>
      <c r="E61" s="54" t="s">
        <v>14</v>
      </c>
      <c r="F61" s="159">
        <v>9</v>
      </c>
      <c r="G61" s="196">
        <v>942</v>
      </c>
      <c r="H61" s="197">
        <f t="shared" si="5"/>
        <v>1393.5515841383033</v>
      </c>
      <c r="I61" s="197">
        <f t="shared" si="1"/>
        <v>1266.7977110484107</v>
      </c>
      <c r="J61" s="198">
        <f t="shared" si="2"/>
        <v>1193323.4438076029</v>
      </c>
      <c r="K61" s="199">
        <f t="shared" si="13"/>
        <v>1312725.5922582818</v>
      </c>
      <c r="L61" s="204">
        <f t="shared" si="21"/>
        <v>-119402.14845067891</v>
      </c>
      <c r="M61" s="201">
        <f t="shared" si="7"/>
        <v>-6520.2048140249917</v>
      </c>
      <c r="N61" s="202">
        <f t="shared" si="8"/>
        <v>-125922.35326470391</v>
      </c>
      <c r="O61" s="201">
        <f t="shared" si="9"/>
        <v>0</v>
      </c>
      <c r="P61" s="201">
        <f t="shared" si="10"/>
        <v>0</v>
      </c>
      <c r="Q61" s="201">
        <v>0</v>
      </c>
      <c r="R61" s="202">
        <f t="shared" si="11"/>
        <v>-125922.35326470391</v>
      </c>
    </row>
    <row r="62" spans="1:18" x14ac:dyDescent="0.2">
      <c r="A62" s="125">
        <v>7</v>
      </c>
      <c r="B62" s="194">
        <f t="shared" si="4"/>
        <v>44743</v>
      </c>
      <c r="C62" s="214">
        <f t="shared" si="20"/>
        <v>44776</v>
      </c>
      <c r="D62" s="214">
        <f t="shared" si="20"/>
        <v>44796</v>
      </c>
      <c r="E62" s="54" t="s">
        <v>14</v>
      </c>
      <c r="F62" s="159">
        <v>9</v>
      </c>
      <c r="G62" s="196">
        <v>1036</v>
      </c>
      <c r="H62" s="197">
        <f t="shared" si="5"/>
        <v>1393.5515841383033</v>
      </c>
      <c r="I62" s="197">
        <f t="shared" si="1"/>
        <v>1266.7977110484107</v>
      </c>
      <c r="J62" s="198">
        <f t="shared" si="2"/>
        <v>1312402.4286461535</v>
      </c>
      <c r="K62" s="205">
        <f t="shared" si="13"/>
        <v>1443719.4411672822</v>
      </c>
      <c r="L62" s="204">
        <f t="shared" si="21"/>
        <v>-131317.01252112864</v>
      </c>
      <c r="M62" s="201">
        <f t="shared" si="7"/>
        <v>-7170.8409631952127</v>
      </c>
      <c r="N62" s="202">
        <f t="shared" si="8"/>
        <v>-138487.85348432386</v>
      </c>
      <c r="O62" s="201">
        <f t="shared" si="9"/>
        <v>0</v>
      </c>
      <c r="P62" s="201">
        <f t="shared" si="10"/>
        <v>0</v>
      </c>
      <c r="Q62" s="201">
        <v>0</v>
      </c>
      <c r="R62" s="202">
        <f t="shared" si="11"/>
        <v>-138487.85348432386</v>
      </c>
    </row>
    <row r="63" spans="1:18" x14ac:dyDescent="0.2">
      <c r="A63" s="159">
        <v>8</v>
      </c>
      <c r="B63" s="194">
        <f t="shared" si="4"/>
        <v>44774</v>
      </c>
      <c r="C63" s="214">
        <f t="shared" si="20"/>
        <v>44809</v>
      </c>
      <c r="D63" s="214">
        <f t="shared" si="20"/>
        <v>44827</v>
      </c>
      <c r="E63" s="54" t="s">
        <v>14</v>
      </c>
      <c r="F63" s="159">
        <v>9</v>
      </c>
      <c r="G63" s="196">
        <v>954</v>
      </c>
      <c r="H63" s="197">
        <f t="shared" si="5"/>
        <v>1393.5515841383033</v>
      </c>
      <c r="I63" s="197">
        <f t="shared" si="1"/>
        <v>1266.7977110484107</v>
      </c>
      <c r="J63" s="198">
        <f t="shared" si="2"/>
        <v>1208525.0163401838</v>
      </c>
      <c r="K63" s="205">
        <f t="shared" si="13"/>
        <v>1329448.2112679414</v>
      </c>
      <c r="L63" s="204">
        <f t="shared" si="21"/>
        <v>-120923.19492775761</v>
      </c>
      <c r="M63" s="201">
        <f t="shared" si="7"/>
        <v>-6603.2647479616153</v>
      </c>
      <c r="N63" s="202">
        <f t="shared" si="8"/>
        <v>-127526.45967571922</v>
      </c>
      <c r="O63" s="201">
        <f t="shared" si="9"/>
        <v>0</v>
      </c>
      <c r="P63" s="201">
        <f t="shared" si="10"/>
        <v>0</v>
      </c>
      <c r="Q63" s="201">
        <v>0</v>
      </c>
      <c r="R63" s="202">
        <f t="shared" si="11"/>
        <v>-127526.45967571922</v>
      </c>
    </row>
    <row r="64" spans="1:18" x14ac:dyDescent="0.2">
      <c r="A64" s="159">
        <v>9</v>
      </c>
      <c r="B64" s="194">
        <f t="shared" si="4"/>
        <v>44805</v>
      </c>
      <c r="C64" s="214">
        <f t="shared" si="20"/>
        <v>44839</v>
      </c>
      <c r="D64" s="214">
        <f t="shared" si="20"/>
        <v>44859</v>
      </c>
      <c r="E64" s="54" t="s">
        <v>14</v>
      </c>
      <c r="F64" s="159">
        <v>9</v>
      </c>
      <c r="G64" s="196">
        <v>860</v>
      </c>
      <c r="H64" s="197">
        <f t="shared" si="5"/>
        <v>1393.5515841383033</v>
      </c>
      <c r="I64" s="197">
        <f t="shared" ref="I64:I107" si="22">$J$3</f>
        <v>1266.7977110484107</v>
      </c>
      <c r="J64" s="198">
        <f t="shared" si="2"/>
        <v>1089446.0315016333</v>
      </c>
      <c r="K64" s="205">
        <f t="shared" si="13"/>
        <v>1198454.3623589408</v>
      </c>
      <c r="L64" s="204">
        <f t="shared" si="21"/>
        <v>-109008.33085730742</v>
      </c>
      <c r="M64" s="201">
        <f t="shared" si="7"/>
        <v>-5952.6285987913934</v>
      </c>
      <c r="N64" s="202">
        <f t="shared" si="8"/>
        <v>-114960.9594560988</v>
      </c>
      <c r="O64" s="201">
        <f t="shared" si="9"/>
        <v>0</v>
      </c>
      <c r="P64" s="201">
        <f t="shared" si="10"/>
        <v>0</v>
      </c>
      <c r="Q64" s="201">
        <v>0</v>
      </c>
      <c r="R64" s="202">
        <f t="shared" si="11"/>
        <v>-114960.9594560988</v>
      </c>
    </row>
    <row r="65" spans="1:18" x14ac:dyDescent="0.2">
      <c r="A65" s="125">
        <v>10</v>
      </c>
      <c r="B65" s="194">
        <f t="shared" si="4"/>
        <v>44835</v>
      </c>
      <c r="C65" s="214">
        <f t="shared" si="20"/>
        <v>44868</v>
      </c>
      <c r="D65" s="214">
        <f t="shared" si="20"/>
        <v>44888</v>
      </c>
      <c r="E65" s="54" t="s">
        <v>14</v>
      </c>
      <c r="F65" s="159">
        <v>9</v>
      </c>
      <c r="G65" s="196">
        <v>589</v>
      </c>
      <c r="H65" s="197">
        <f t="shared" si="5"/>
        <v>1393.5515841383033</v>
      </c>
      <c r="I65" s="197">
        <f t="shared" si="22"/>
        <v>1266.7977110484107</v>
      </c>
      <c r="J65" s="198">
        <f t="shared" si="2"/>
        <v>746143.85180751397</v>
      </c>
      <c r="K65" s="205">
        <f t="shared" si="13"/>
        <v>820801.88305746065</v>
      </c>
      <c r="L65" s="204">
        <f t="shared" si="21"/>
        <v>-74658.031249946682</v>
      </c>
      <c r="M65" s="201">
        <f t="shared" si="7"/>
        <v>-4076.8584240559658</v>
      </c>
      <c r="N65" s="202">
        <f t="shared" si="8"/>
        <v>-78734.889674002654</v>
      </c>
      <c r="O65" s="201">
        <f t="shared" si="9"/>
        <v>0</v>
      </c>
      <c r="P65" s="201">
        <f t="shared" si="10"/>
        <v>0</v>
      </c>
      <c r="Q65" s="201">
        <v>0</v>
      </c>
      <c r="R65" s="202">
        <f t="shared" si="11"/>
        <v>-78734.889674002654</v>
      </c>
    </row>
    <row r="66" spans="1:18" x14ac:dyDescent="0.2">
      <c r="A66" s="159">
        <v>11</v>
      </c>
      <c r="B66" s="194">
        <f t="shared" si="4"/>
        <v>44866</v>
      </c>
      <c r="C66" s="214">
        <f t="shared" si="20"/>
        <v>44900</v>
      </c>
      <c r="D66" s="214">
        <f t="shared" si="20"/>
        <v>44918</v>
      </c>
      <c r="E66" s="54" t="s">
        <v>14</v>
      </c>
      <c r="F66" s="159">
        <v>9</v>
      </c>
      <c r="G66" s="196">
        <v>730</v>
      </c>
      <c r="H66" s="197">
        <f t="shared" si="5"/>
        <v>1393.5515841383033</v>
      </c>
      <c r="I66" s="197">
        <f t="shared" si="22"/>
        <v>1266.7977110484107</v>
      </c>
      <c r="J66" s="198">
        <f t="shared" si="2"/>
        <v>924762.32906533987</v>
      </c>
      <c r="K66" s="205">
        <f t="shared" si="13"/>
        <v>1017292.6564209614</v>
      </c>
      <c r="L66" s="204">
        <f t="shared" si="21"/>
        <v>-92530.327355621499</v>
      </c>
      <c r="M66" s="201">
        <f t="shared" si="7"/>
        <v>-5052.812647811299</v>
      </c>
      <c r="N66" s="202">
        <f t="shared" si="8"/>
        <v>-97583.140003432796</v>
      </c>
      <c r="O66" s="201">
        <f t="shared" si="9"/>
        <v>0</v>
      </c>
      <c r="P66" s="201">
        <f t="shared" si="10"/>
        <v>0</v>
      </c>
      <c r="Q66" s="201">
        <v>0</v>
      </c>
      <c r="R66" s="202">
        <f t="shared" si="11"/>
        <v>-97583.140003432796</v>
      </c>
    </row>
    <row r="67" spans="1:18" s="218" customFormat="1" x14ac:dyDescent="0.2">
      <c r="A67" s="159">
        <v>12</v>
      </c>
      <c r="B67" s="216">
        <f t="shared" si="4"/>
        <v>44896</v>
      </c>
      <c r="C67" s="214">
        <f t="shared" si="20"/>
        <v>44930</v>
      </c>
      <c r="D67" s="214">
        <f t="shared" si="20"/>
        <v>44950</v>
      </c>
      <c r="E67" s="217" t="s">
        <v>14</v>
      </c>
      <c r="F67" s="170">
        <v>9</v>
      </c>
      <c r="G67" s="196">
        <v>1123</v>
      </c>
      <c r="H67" s="206">
        <f t="shared" si="5"/>
        <v>1393.5515841383033</v>
      </c>
      <c r="I67" s="206">
        <f t="shared" si="22"/>
        <v>1266.7977110484107</v>
      </c>
      <c r="J67" s="207">
        <f t="shared" si="2"/>
        <v>1422613.8295073654</v>
      </c>
      <c r="K67" s="208">
        <f t="shared" si="13"/>
        <v>1564958.4289873145</v>
      </c>
      <c r="L67" s="209">
        <f t="shared" si="21"/>
        <v>-142344.5994799491</v>
      </c>
      <c r="M67" s="201">
        <f t="shared" si="7"/>
        <v>-7773.0254842357372</v>
      </c>
      <c r="N67" s="202">
        <f t="shared" si="8"/>
        <v>-150117.62496418483</v>
      </c>
      <c r="O67" s="201">
        <f t="shared" si="9"/>
        <v>0</v>
      </c>
      <c r="P67" s="201">
        <f t="shared" si="10"/>
        <v>0</v>
      </c>
      <c r="Q67" s="201">
        <v>0</v>
      </c>
      <c r="R67" s="202">
        <f t="shared" si="11"/>
        <v>-150117.62496418483</v>
      </c>
    </row>
    <row r="68" spans="1:18" x14ac:dyDescent="0.2">
      <c r="A68" s="125">
        <v>1</v>
      </c>
      <c r="B68" s="194">
        <f t="shared" si="4"/>
        <v>44562</v>
      </c>
      <c r="C68" s="211">
        <f t="shared" ref="C68:D79" si="23">+C56</f>
        <v>44595</v>
      </c>
      <c r="D68" s="211">
        <f t="shared" si="23"/>
        <v>44615</v>
      </c>
      <c r="E68" s="195" t="s">
        <v>87</v>
      </c>
      <c r="F68" s="125">
        <v>9</v>
      </c>
      <c r="G68" s="196">
        <v>48</v>
      </c>
      <c r="H68" s="197">
        <f t="shared" si="5"/>
        <v>1393.5515841383033</v>
      </c>
      <c r="I68" s="197">
        <f t="shared" si="22"/>
        <v>1266.7977110484107</v>
      </c>
      <c r="J68" s="198">
        <f t="shared" si="2"/>
        <v>60806.290130323716</v>
      </c>
      <c r="K68" s="199">
        <f t="shared" si="13"/>
        <v>66890.476038638561</v>
      </c>
      <c r="L68" s="200">
        <f t="shared" si="21"/>
        <v>-6084.1859083148447</v>
      </c>
      <c r="M68" s="201">
        <f t="shared" si="7"/>
        <v>-332.23973574649636</v>
      </c>
      <c r="N68" s="202">
        <f t="shared" si="8"/>
        <v>-6416.4256440613408</v>
      </c>
      <c r="O68" s="201">
        <f t="shared" si="9"/>
        <v>0</v>
      </c>
      <c r="P68" s="201">
        <f t="shared" si="10"/>
        <v>0</v>
      </c>
      <c r="Q68" s="201">
        <v>0</v>
      </c>
      <c r="R68" s="202">
        <f t="shared" si="11"/>
        <v>-6416.4256440613408</v>
      </c>
    </row>
    <row r="69" spans="1:18" x14ac:dyDescent="0.2">
      <c r="A69" s="159">
        <v>2</v>
      </c>
      <c r="B69" s="194">
        <f t="shared" si="4"/>
        <v>44593</v>
      </c>
      <c r="C69" s="214">
        <f t="shared" si="23"/>
        <v>44623</v>
      </c>
      <c r="D69" s="214">
        <f t="shared" si="23"/>
        <v>44642</v>
      </c>
      <c r="E69" s="203" t="s">
        <v>87</v>
      </c>
      <c r="F69" s="159">
        <v>9</v>
      </c>
      <c r="G69" s="196">
        <v>45</v>
      </c>
      <c r="H69" s="197">
        <f t="shared" si="5"/>
        <v>1393.5515841383033</v>
      </c>
      <c r="I69" s="197">
        <f t="shared" si="22"/>
        <v>1266.7977110484107</v>
      </c>
      <c r="J69" s="198">
        <f t="shared" si="2"/>
        <v>57005.896997178483</v>
      </c>
      <c r="K69" s="199">
        <f t="shared" si="13"/>
        <v>62709.821286223647</v>
      </c>
      <c r="L69" s="200">
        <f t="shared" si="21"/>
        <v>-5703.9242890451642</v>
      </c>
      <c r="M69" s="201">
        <f t="shared" si="7"/>
        <v>-311.47475226234036</v>
      </c>
      <c r="N69" s="202">
        <f t="shared" si="8"/>
        <v>-6015.3990413075044</v>
      </c>
      <c r="O69" s="201">
        <f t="shared" si="9"/>
        <v>0</v>
      </c>
      <c r="P69" s="201">
        <f t="shared" si="10"/>
        <v>0</v>
      </c>
      <c r="Q69" s="201">
        <v>0</v>
      </c>
      <c r="R69" s="202">
        <f t="shared" si="11"/>
        <v>-6015.3990413075044</v>
      </c>
    </row>
    <row r="70" spans="1:18" x14ac:dyDescent="0.2">
      <c r="A70" s="159">
        <v>3</v>
      </c>
      <c r="B70" s="194">
        <f t="shared" si="4"/>
        <v>44621</v>
      </c>
      <c r="C70" s="214">
        <f t="shared" si="23"/>
        <v>44656</v>
      </c>
      <c r="D70" s="214">
        <f t="shared" si="23"/>
        <v>44676</v>
      </c>
      <c r="E70" s="203" t="s">
        <v>87</v>
      </c>
      <c r="F70" s="159">
        <v>9</v>
      </c>
      <c r="G70" s="196">
        <v>38</v>
      </c>
      <c r="H70" s="197">
        <f t="shared" si="5"/>
        <v>1393.5515841383033</v>
      </c>
      <c r="I70" s="197">
        <f t="shared" si="22"/>
        <v>1266.7977110484107</v>
      </c>
      <c r="J70" s="198">
        <f t="shared" si="2"/>
        <v>48138.31301983961</v>
      </c>
      <c r="K70" s="199">
        <f t="shared" si="13"/>
        <v>52954.960197255525</v>
      </c>
      <c r="L70" s="200">
        <f>+J70-K70</f>
        <v>-4816.6471774159145</v>
      </c>
      <c r="M70" s="201">
        <f t="shared" si="7"/>
        <v>-263.02312413264298</v>
      </c>
      <c r="N70" s="202">
        <f t="shared" si="8"/>
        <v>-5079.6703015485573</v>
      </c>
      <c r="O70" s="201">
        <f t="shared" si="9"/>
        <v>0</v>
      </c>
      <c r="P70" s="201">
        <f t="shared" si="10"/>
        <v>0</v>
      </c>
      <c r="Q70" s="201">
        <v>0</v>
      </c>
      <c r="R70" s="202">
        <f t="shared" si="11"/>
        <v>-5079.6703015485573</v>
      </c>
    </row>
    <row r="71" spans="1:18" x14ac:dyDescent="0.2">
      <c r="A71" s="125">
        <v>4</v>
      </c>
      <c r="B71" s="194">
        <f t="shared" si="4"/>
        <v>44652</v>
      </c>
      <c r="C71" s="214">
        <f t="shared" si="23"/>
        <v>44685</v>
      </c>
      <c r="D71" s="214">
        <f t="shared" si="23"/>
        <v>44705</v>
      </c>
      <c r="E71" s="203" t="s">
        <v>87</v>
      </c>
      <c r="F71" s="159">
        <v>9</v>
      </c>
      <c r="G71" s="196">
        <v>26</v>
      </c>
      <c r="H71" s="197">
        <f t="shared" si="5"/>
        <v>1393.5515841383033</v>
      </c>
      <c r="I71" s="197">
        <f t="shared" si="22"/>
        <v>1266.7977110484107</v>
      </c>
      <c r="J71" s="198">
        <f t="shared" si="2"/>
        <v>32936.740487258678</v>
      </c>
      <c r="K71" s="199">
        <f t="shared" si="13"/>
        <v>36232.341187595885</v>
      </c>
      <c r="L71" s="200">
        <f t="shared" ref="L71:L79" si="24">+J71-K71</f>
        <v>-3295.6007003372069</v>
      </c>
      <c r="M71" s="201">
        <f t="shared" si="7"/>
        <v>-179.96319019601884</v>
      </c>
      <c r="N71" s="202">
        <f t="shared" si="8"/>
        <v>-3475.5638905332257</v>
      </c>
      <c r="O71" s="201">
        <f t="shared" si="9"/>
        <v>0</v>
      </c>
      <c r="P71" s="201">
        <f t="shared" si="10"/>
        <v>0</v>
      </c>
      <c r="Q71" s="201">
        <v>0</v>
      </c>
      <c r="R71" s="202">
        <f t="shared" si="11"/>
        <v>-3475.5638905332257</v>
      </c>
    </row>
    <row r="72" spans="1:18" x14ac:dyDescent="0.2">
      <c r="A72" s="159">
        <v>5</v>
      </c>
      <c r="B72" s="194">
        <f t="shared" si="4"/>
        <v>44682</v>
      </c>
      <c r="C72" s="214">
        <f t="shared" si="23"/>
        <v>44715</v>
      </c>
      <c r="D72" s="214">
        <f t="shared" si="23"/>
        <v>44735</v>
      </c>
      <c r="E72" s="203" t="s">
        <v>87</v>
      </c>
      <c r="F72" s="159">
        <v>9</v>
      </c>
      <c r="G72" s="196">
        <v>43</v>
      </c>
      <c r="H72" s="197">
        <f t="shared" si="5"/>
        <v>1393.5515841383033</v>
      </c>
      <c r="I72" s="197">
        <f t="shared" si="22"/>
        <v>1266.7977110484107</v>
      </c>
      <c r="J72" s="198">
        <f t="shared" si="2"/>
        <v>54472.301575081663</v>
      </c>
      <c r="K72" s="199">
        <f t="shared" si="13"/>
        <v>59922.718117947043</v>
      </c>
      <c r="L72" s="200">
        <f t="shared" si="24"/>
        <v>-5450.4165428653796</v>
      </c>
      <c r="M72" s="201">
        <f t="shared" si="7"/>
        <v>-297.63142993956967</v>
      </c>
      <c r="N72" s="202">
        <f t="shared" si="8"/>
        <v>-5748.0479728049495</v>
      </c>
      <c r="O72" s="201">
        <f t="shared" si="9"/>
        <v>0</v>
      </c>
      <c r="P72" s="201">
        <f t="shared" si="10"/>
        <v>0</v>
      </c>
      <c r="Q72" s="201">
        <v>0</v>
      </c>
      <c r="R72" s="202">
        <f t="shared" si="11"/>
        <v>-5748.0479728049495</v>
      </c>
    </row>
    <row r="73" spans="1:18" x14ac:dyDescent="0.2">
      <c r="A73" s="159">
        <v>6</v>
      </c>
      <c r="B73" s="194">
        <f t="shared" si="4"/>
        <v>44713</v>
      </c>
      <c r="C73" s="214">
        <f t="shared" si="23"/>
        <v>44747</v>
      </c>
      <c r="D73" s="214">
        <f t="shared" si="23"/>
        <v>44767</v>
      </c>
      <c r="E73" s="203" t="s">
        <v>87</v>
      </c>
      <c r="F73" s="159">
        <v>9</v>
      </c>
      <c r="G73" s="196">
        <v>54</v>
      </c>
      <c r="H73" s="197">
        <f t="shared" si="5"/>
        <v>1393.5515841383033</v>
      </c>
      <c r="I73" s="197">
        <f t="shared" si="22"/>
        <v>1266.7977110484107</v>
      </c>
      <c r="J73" s="198">
        <f t="shared" si="2"/>
        <v>68407.076396614182</v>
      </c>
      <c r="K73" s="199">
        <f t="shared" si="13"/>
        <v>75251.785543468373</v>
      </c>
      <c r="L73" s="204">
        <f t="shared" si="24"/>
        <v>-6844.7091468541912</v>
      </c>
      <c r="M73" s="201">
        <f t="shared" si="7"/>
        <v>-373.76970271480843</v>
      </c>
      <c r="N73" s="202">
        <f t="shared" si="8"/>
        <v>-7218.478849569</v>
      </c>
      <c r="O73" s="201">
        <f t="shared" si="9"/>
        <v>0</v>
      </c>
      <c r="P73" s="201">
        <f t="shared" si="10"/>
        <v>0</v>
      </c>
      <c r="Q73" s="201">
        <v>0</v>
      </c>
      <c r="R73" s="202">
        <f t="shared" si="11"/>
        <v>-7218.478849569</v>
      </c>
    </row>
    <row r="74" spans="1:18" x14ac:dyDescent="0.2">
      <c r="A74" s="125">
        <v>7</v>
      </c>
      <c r="B74" s="194">
        <f t="shared" si="4"/>
        <v>44743</v>
      </c>
      <c r="C74" s="214">
        <f t="shared" si="23"/>
        <v>44776</v>
      </c>
      <c r="D74" s="214">
        <f t="shared" si="23"/>
        <v>44796</v>
      </c>
      <c r="E74" s="203" t="s">
        <v>87</v>
      </c>
      <c r="F74" s="159">
        <v>9</v>
      </c>
      <c r="G74" s="196">
        <v>57</v>
      </c>
      <c r="H74" s="197">
        <f t="shared" si="5"/>
        <v>1393.5515841383033</v>
      </c>
      <c r="I74" s="197">
        <f t="shared" si="22"/>
        <v>1266.7977110484107</v>
      </c>
      <c r="J74" s="198">
        <f t="shared" si="2"/>
        <v>72207.469529759415</v>
      </c>
      <c r="K74" s="205">
        <f t="shared" si="13"/>
        <v>79432.44029588328</v>
      </c>
      <c r="L74" s="204">
        <f t="shared" si="24"/>
        <v>-7224.9707661238645</v>
      </c>
      <c r="M74" s="201">
        <f t="shared" si="7"/>
        <v>-394.53468619896444</v>
      </c>
      <c r="N74" s="202">
        <f t="shared" si="8"/>
        <v>-7619.5054523228291</v>
      </c>
      <c r="O74" s="201">
        <f t="shared" si="9"/>
        <v>0</v>
      </c>
      <c r="P74" s="201">
        <f t="shared" si="10"/>
        <v>0</v>
      </c>
      <c r="Q74" s="201">
        <v>0</v>
      </c>
      <c r="R74" s="202">
        <f t="shared" si="11"/>
        <v>-7619.5054523228291</v>
      </c>
    </row>
    <row r="75" spans="1:18" x14ac:dyDescent="0.2">
      <c r="A75" s="159">
        <v>8</v>
      </c>
      <c r="B75" s="194">
        <f t="shared" si="4"/>
        <v>44774</v>
      </c>
      <c r="C75" s="214">
        <f t="shared" si="23"/>
        <v>44809</v>
      </c>
      <c r="D75" s="214">
        <f t="shared" si="23"/>
        <v>44827</v>
      </c>
      <c r="E75" s="203" t="s">
        <v>87</v>
      </c>
      <c r="F75" s="159">
        <v>9</v>
      </c>
      <c r="G75" s="196">
        <v>54</v>
      </c>
      <c r="H75" s="197">
        <f t="shared" si="5"/>
        <v>1393.5515841383033</v>
      </c>
      <c r="I75" s="197">
        <f t="shared" si="22"/>
        <v>1266.7977110484107</v>
      </c>
      <c r="J75" s="198">
        <f t="shared" si="2"/>
        <v>68407.076396614182</v>
      </c>
      <c r="K75" s="205">
        <f t="shared" si="13"/>
        <v>75251.785543468373</v>
      </c>
      <c r="L75" s="204">
        <f t="shared" si="24"/>
        <v>-6844.7091468541912</v>
      </c>
      <c r="M75" s="201">
        <f t="shared" si="7"/>
        <v>-373.76970271480843</v>
      </c>
      <c r="N75" s="202">
        <f t="shared" si="8"/>
        <v>-7218.478849569</v>
      </c>
      <c r="O75" s="201">
        <f t="shared" si="9"/>
        <v>0</v>
      </c>
      <c r="P75" s="201">
        <f t="shared" si="10"/>
        <v>0</v>
      </c>
      <c r="Q75" s="201">
        <v>0</v>
      </c>
      <c r="R75" s="202">
        <f t="shared" si="11"/>
        <v>-7218.478849569</v>
      </c>
    </row>
    <row r="76" spans="1:18" x14ac:dyDescent="0.2">
      <c r="A76" s="159">
        <v>9</v>
      </c>
      <c r="B76" s="194">
        <f t="shared" si="4"/>
        <v>44805</v>
      </c>
      <c r="C76" s="214">
        <f t="shared" si="23"/>
        <v>44839</v>
      </c>
      <c r="D76" s="214">
        <f t="shared" si="23"/>
        <v>44859</v>
      </c>
      <c r="E76" s="203" t="s">
        <v>87</v>
      </c>
      <c r="F76" s="159">
        <v>9</v>
      </c>
      <c r="G76" s="196">
        <v>53</v>
      </c>
      <c r="H76" s="197">
        <f t="shared" si="5"/>
        <v>1393.5515841383033</v>
      </c>
      <c r="I76" s="197">
        <f t="shared" si="22"/>
        <v>1266.7977110484107</v>
      </c>
      <c r="J76" s="198">
        <f t="shared" si="2"/>
        <v>67140.278685565776</v>
      </c>
      <c r="K76" s="205">
        <f t="shared" si="13"/>
        <v>73858.233959330071</v>
      </c>
      <c r="L76" s="204">
        <f t="shared" si="24"/>
        <v>-6717.9552737642953</v>
      </c>
      <c r="M76" s="201">
        <f t="shared" si="7"/>
        <v>-366.84804155342306</v>
      </c>
      <c r="N76" s="202">
        <f t="shared" si="8"/>
        <v>-7084.8033153177184</v>
      </c>
      <c r="O76" s="201">
        <f t="shared" si="9"/>
        <v>0</v>
      </c>
      <c r="P76" s="201">
        <f t="shared" si="10"/>
        <v>0</v>
      </c>
      <c r="Q76" s="201">
        <v>0</v>
      </c>
      <c r="R76" s="202">
        <f t="shared" si="11"/>
        <v>-7084.8033153177184</v>
      </c>
    </row>
    <row r="77" spans="1:18" x14ac:dyDescent="0.2">
      <c r="A77" s="125">
        <v>10</v>
      </c>
      <c r="B77" s="194">
        <f t="shared" si="4"/>
        <v>44835</v>
      </c>
      <c r="C77" s="214">
        <f t="shared" si="23"/>
        <v>44868</v>
      </c>
      <c r="D77" s="214">
        <f t="shared" si="23"/>
        <v>44888</v>
      </c>
      <c r="E77" s="203" t="s">
        <v>87</v>
      </c>
      <c r="F77" s="159">
        <v>9</v>
      </c>
      <c r="G77" s="196">
        <v>31</v>
      </c>
      <c r="H77" s="197">
        <f t="shared" si="5"/>
        <v>1393.5515841383033</v>
      </c>
      <c r="I77" s="197">
        <f t="shared" si="22"/>
        <v>1266.7977110484107</v>
      </c>
      <c r="J77" s="198">
        <f t="shared" si="2"/>
        <v>39270.72904250073</v>
      </c>
      <c r="K77" s="205">
        <f t="shared" si="13"/>
        <v>43200.099108287402</v>
      </c>
      <c r="L77" s="204">
        <f t="shared" si="24"/>
        <v>-3929.3700657866721</v>
      </c>
      <c r="M77" s="201">
        <f t="shared" si="7"/>
        <v>-214.57149600294557</v>
      </c>
      <c r="N77" s="202">
        <f t="shared" si="8"/>
        <v>-4143.9415617896175</v>
      </c>
      <c r="O77" s="201">
        <f t="shared" si="9"/>
        <v>0</v>
      </c>
      <c r="P77" s="201">
        <f t="shared" si="10"/>
        <v>0</v>
      </c>
      <c r="Q77" s="201">
        <v>0</v>
      </c>
      <c r="R77" s="202">
        <f t="shared" si="11"/>
        <v>-4143.9415617896175</v>
      </c>
    </row>
    <row r="78" spans="1:18" x14ac:dyDescent="0.2">
      <c r="A78" s="159">
        <v>11</v>
      </c>
      <c r="B78" s="194">
        <f t="shared" si="4"/>
        <v>44866</v>
      </c>
      <c r="C78" s="214">
        <f t="shared" si="23"/>
        <v>44900</v>
      </c>
      <c r="D78" s="214">
        <f t="shared" si="23"/>
        <v>44918</v>
      </c>
      <c r="E78" s="203" t="s">
        <v>87</v>
      </c>
      <c r="F78" s="159">
        <v>9</v>
      </c>
      <c r="G78" s="196">
        <v>38</v>
      </c>
      <c r="H78" s="197">
        <f t="shared" si="5"/>
        <v>1393.5515841383033</v>
      </c>
      <c r="I78" s="197">
        <f t="shared" si="22"/>
        <v>1266.7977110484107</v>
      </c>
      <c r="J78" s="198">
        <f t="shared" si="2"/>
        <v>48138.31301983961</v>
      </c>
      <c r="K78" s="205">
        <f>+$G78*H78</f>
        <v>52954.960197255525</v>
      </c>
      <c r="L78" s="204">
        <f t="shared" si="24"/>
        <v>-4816.6471774159145</v>
      </c>
      <c r="M78" s="201">
        <f t="shared" si="7"/>
        <v>-263.02312413264298</v>
      </c>
      <c r="N78" s="202">
        <f t="shared" si="8"/>
        <v>-5079.6703015485573</v>
      </c>
      <c r="O78" s="201">
        <f t="shared" si="9"/>
        <v>0</v>
      </c>
      <c r="P78" s="201">
        <f t="shared" si="10"/>
        <v>0</v>
      </c>
      <c r="Q78" s="201">
        <v>0</v>
      </c>
      <c r="R78" s="202">
        <f t="shared" si="11"/>
        <v>-5079.6703015485573</v>
      </c>
    </row>
    <row r="79" spans="1:18" s="218" customFormat="1" x14ac:dyDescent="0.2">
      <c r="A79" s="159">
        <v>12</v>
      </c>
      <c r="B79" s="216">
        <f t="shared" si="4"/>
        <v>44896</v>
      </c>
      <c r="C79" s="219">
        <f t="shared" si="23"/>
        <v>44930</v>
      </c>
      <c r="D79" s="219">
        <f t="shared" si="23"/>
        <v>44950</v>
      </c>
      <c r="E79" s="220" t="s">
        <v>87</v>
      </c>
      <c r="F79" s="170">
        <v>9</v>
      </c>
      <c r="G79" s="196">
        <v>58</v>
      </c>
      <c r="H79" s="206">
        <f t="shared" si="5"/>
        <v>1393.5515841383033</v>
      </c>
      <c r="I79" s="206">
        <f t="shared" si="22"/>
        <v>1266.7977110484107</v>
      </c>
      <c r="J79" s="207">
        <f t="shared" si="2"/>
        <v>73474.267240807822</v>
      </c>
      <c r="K79" s="208">
        <f>+$G79*H79</f>
        <v>80825.991880021596</v>
      </c>
      <c r="L79" s="209">
        <f t="shared" si="24"/>
        <v>-7351.7246392137749</v>
      </c>
      <c r="M79" s="201">
        <f t="shared" si="7"/>
        <v>-401.45634736034975</v>
      </c>
      <c r="N79" s="202">
        <f t="shared" si="8"/>
        <v>-7753.1809865741243</v>
      </c>
      <c r="O79" s="201">
        <f t="shared" si="9"/>
        <v>0</v>
      </c>
      <c r="P79" s="201">
        <f t="shared" si="10"/>
        <v>0</v>
      </c>
      <c r="Q79" s="201">
        <v>0</v>
      </c>
      <c r="R79" s="202">
        <f t="shared" si="11"/>
        <v>-7753.1809865741243</v>
      </c>
    </row>
    <row r="80" spans="1:18" s="52" customFormat="1" ht="12.75" customHeight="1" x14ac:dyDescent="0.2">
      <c r="A80" s="125">
        <v>1</v>
      </c>
      <c r="B80" s="194">
        <f t="shared" si="4"/>
        <v>44562</v>
      </c>
      <c r="C80" s="211">
        <f t="shared" ref="C80:D91" si="25">+C56</f>
        <v>44595</v>
      </c>
      <c r="D80" s="211">
        <f t="shared" si="25"/>
        <v>44615</v>
      </c>
      <c r="E80" s="195" t="s">
        <v>9</v>
      </c>
      <c r="F80" s="125">
        <v>9</v>
      </c>
      <c r="G80" s="196">
        <v>50</v>
      </c>
      <c r="H80" s="197">
        <f t="shared" si="5"/>
        <v>1393.5515841383033</v>
      </c>
      <c r="I80" s="197">
        <f t="shared" si="22"/>
        <v>1266.7977110484107</v>
      </c>
      <c r="J80" s="198">
        <f t="shared" si="2"/>
        <v>63339.885552420536</v>
      </c>
      <c r="K80" s="199">
        <f t="shared" si="13"/>
        <v>69677.579206915165</v>
      </c>
      <c r="L80" s="200">
        <f t="shared" si="21"/>
        <v>-6337.6936544946293</v>
      </c>
      <c r="M80" s="201">
        <f t="shared" si="7"/>
        <v>-346.083058069267</v>
      </c>
      <c r="N80" s="202">
        <f t="shared" si="8"/>
        <v>-6683.7767125638966</v>
      </c>
      <c r="O80" s="201">
        <f t="shared" si="9"/>
        <v>0</v>
      </c>
      <c r="P80" s="201">
        <f t="shared" si="10"/>
        <v>0</v>
      </c>
      <c r="Q80" s="201">
        <v>0</v>
      </c>
      <c r="R80" s="202">
        <f t="shared" si="11"/>
        <v>-6683.7767125638966</v>
      </c>
    </row>
    <row r="81" spans="1:18" x14ac:dyDescent="0.2">
      <c r="A81" s="159">
        <v>2</v>
      </c>
      <c r="B81" s="194">
        <f t="shared" si="4"/>
        <v>44593</v>
      </c>
      <c r="C81" s="214">
        <f t="shared" si="25"/>
        <v>44623</v>
      </c>
      <c r="D81" s="214">
        <f t="shared" si="25"/>
        <v>44642</v>
      </c>
      <c r="E81" s="203" t="s">
        <v>9</v>
      </c>
      <c r="F81" s="159">
        <v>9</v>
      </c>
      <c r="G81" s="196">
        <v>49</v>
      </c>
      <c r="H81" s="197">
        <f t="shared" si="5"/>
        <v>1393.5515841383033</v>
      </c>
      <c r="I81" s="197">
        <f t="shared" si="22"/>
        <v>1266.7977110484107</v>
      </c>
      <c r="J81" s="198">
        <f t="shared" si="2"/>
        <v>62073.087841372129</v>
      </c>
      <c r="K81" s="199">
        <f t="shared" si="13"/>
        <v>68284.027622776863</v>
      </c>
      <c r="L81" s="200">
        <f t="shared" si="21"/>
        <v>-6210.9397814047334</v>
      </c>
      <c r="M81" s="201">
        <f t="shared" si="7"/>
        <v>-339.16139690788168</v>
      </c>
      <c r="N81" s="202">
        <f t="shared" si="8"/>
        <v>-6550.101178312615</v>
      </c>
      <c r="O81" s="201">
        <f t="shared" si="9"/>
        <v>0</v>
      </c>
      <c r="P81" s="201">
        <f t="shared" si="10"/>
        <v>0</v>
      </c>
      <c r="Q81" s="201">
        <v>0</v>
      </c>
      <c r="R81" s="202">
        <f t="shared" si="11"/>
        <v>-6550.101178312615</v>
      </c>
    </row>
    <row r="82" spans="1:18" x14ac:dyDescent="0.2">
      <c r="A82" s="159">
        <v>3</v>
      </c>
      <c r="B82" s="194">
        <f t="shared" si="4"/>
        <v>44621</v>
      </c>
      <c r="C82" s="214">
        <f t="shared" si="25"/>
        <v>44656</v>
      </c>
      <c r="D82" s="214">
        <f t="shared" si="25"/>
        <v>44676</v>
      </c>
      <c r="E82" s="203" t="s">
        <v>9</v>
      </c>
      <c r="F82" s="159">
        <v>9</v>
      </c>
      <c r="G82" s="196">
        <v>45</v>
      </c>
      <c r="H82" s="197">
        <f t="shared" si="5"/>
        <v>1393.5515841383033</v>
      </c>
      <c r="I82" s="197">
        <f t="shared" si="22"/>
        <v>1266.7977110484107</v>
      </c>
      <c r="J82" s="198">
        <f t="shared" si="2"/>
        <v>57005.896997178483</v>
      </c>
      <c r="K82" s="199">
        <f t="shared" si="13"/>
        <v>62709.821286223647</v>
      </c>
      <c r="L82" s="200">
        <f>+J82-K82</f>
        <v>-5703.9242890451642</v>
      </c>
      <c r="M82" s="201">
        <f t="shared" si="7"/>
        <v>-311.47475226234036</v>
      </c>
      <c r="N82" s="202">
        <f t="shared" si="8"/>
        <v>-6015.3990413075044</v>
      </c>
      <c r="O82" s="201">
        <f t="shared" si="9"/>
        <v>0</v>
      </c>
      <c r="P82" s="201">
        <f t="shared" si="10"/>
        <v>0</v>
      </c>
      <c r="Q82" s="201">
        <v>0</v>
      </c>
      <c r="R82" s="202">
        <f t="shared" si="11"/>
        <v>-6015.3990413075044</v>
      </c>
    </row>
    <row r="83" spans="1:18" ht="12" customHeight="1" x14ac:dyDescent="0.2">
      <c r="A83" s="125">
        <v>4</v>
      </c>
      <c r="B83" s="194">
        <f t="shared" si="4"/>
        <v>44652</v>
      </c>
      <c r="C83" s="214">
        <f t="shared" si="25"/>
        <v>44685</v>
      </c>
      <c r="D83" s="214">
        <f t="shared" si="25"/>
        <v>44705</v>
      </c>
      <c r="E83" s="54" t="s">
        <v>9</v>
      </c>
      <c r="F83" s="159">
        <v>9</v>
      </c>
      <c r="G83" s="196">
        <v>34</v>
      </c>
      <c r="H83" s="197">
        <f t="shared" si="5"/>
        <v>1393.5515841383033</v>
      </c>
      <c r="I83" s="197">
        <f t="shared" si="22"/>
        <v>1266.7977110484107</v>
      </c>
      <c r="J83" s="198">
        <f t="shared" si="2"/>
        <v>43071.122175645964</v>
      </c>
      <c r="K83" s="199">
        <f t="shared" si="13"/>
        <v>47380.753860702309</v>
      </c>
      <c r="L83" s="200">
        <f t="shared" ref="L83:L93" si="26">+J83-K83</f>
        <v>-4309.6316850563453</v>
      </c>
      <c r="M83" s="201">
        <f t="shared" si="7"/>
        <v>-235.3364794871016</v>
      </c>
      <c r="N83" s="202">
        <f t="shared" si="8"/>
        <v>-4544.9681645434466</v>
      </c>
      <c r="O83" s="201">
        <f t="shared" si="9"/>
        <v>0</v>
      </c>
      <c r="P83" s="201">
        <f t="shared" si="10"/>
        <v>0</v>
      </c>
      <c r="Q83" s="201">
        <v>0</v>
      </c>
      <c r="R83" s="202">
        <f t="shared" si="11"/>
        <v>-4544.9681645434466</v>
      </c>
    </row>
    <row r="84" spans="1:18" ht="12" customHeight="1" x14ac:dyDescent="0.2">
      <c r="A84" s="159">
        <v>5</v>
      </c>
      <c r="B84" s="194">
        <f t="shared" si="4"/>
        <v>44682</v>
      </c>
      <c r="C84" s="214">
        <f t="shared" si="25"/>
        <v>44715</v>
      </c>
      <c r="D84" s="214">
        <f t="shared" si="25"/>
        <v>44735</v>
      </c>
      <c r="E84" s="54" t="s">
        <v>9</v>
      </c>
      <c r="F84" s="159">
        <v>9</v>
      </c>
      <c r="G84" s="196">
        <v>42</v>
      </c>
      <c r="H84" s="197">
        <f t="shared" si="5"/>
        <v>1393.5515841383033</v>
      </c>
      <c r="I84" s="197">
        <f t="shared" si="22"/>
        <v>1266.7977110484107</v>
      </c>
      <c r="J84" s="198">
        <f t="shared" si="2"/>
        <v>53205.50386403325</v>
      </c>
      <c r="K84" s="199">
        <f t="shared" si="13"/>
        <v>58529.16653380874</v>
      </c>
      <c r="L84" s="200">
        <f t="shared" si="26"/>
        <v>-5323.6626697754909</v>
      </c>
      <c r="M84" s="201">
        <f t="shared" si="7"/>
        <v>-290.7097687781843</v>
      </c>
      <c r="N84" s="202">
        <f t="shared" si="8"/>
        <v>-5614.3724385536752</v>
      </c>
      <c r="O84" s="201">
        <f t="shared" si="9"/>
        <v>0</v>
      </c>
      <c r="P84" s="201">
        <f t="shared" si="10"/>
        <v>0</v>
      </c>
      <c r="Q84" s="201">
        <v>0</v>
      </c>
      <c r="R84" s="202">
        <f t="shared" si="11"/>
        <v>-5614.3724385536752</v>
      </c>
    </row>
    <row r="85" spans="1:18" x14ac:dyDescent="0.2">
      <c r="A85" s="159">
        <v>6</v>
      </c>
      <c r="B85" s="194">
        <f t="shared" si="4"/>
        <v>44713</v>
      </c>
      <c r="C85" s="214">
        <f t="shared" si="25"/>
        <v>44747</v>
      </c>
      <c r="D85" s="214">
        <f t="shared" si="25"/>
        <v>44767</v>
      </c>
      <c r="E85" s="54" t="s">
        <v>9</v>
      </c>
      <c r="F85" s="159">
        <v>9</v>
      </c>
      <c r="G85" s="196">
        <v>49</v>
      </c>
      <c r="H85" s="197">
        <f t="shared" ref="H85:H148" si="27">+$K$3</f>
        <v>1393.5515841383033</v>
      </c>
      <c r="I85" s="197">
        <f t="shared" si="22"/>
        <v>1266.7977110484107</v>
      </c>
      <c r="J85" s="198">
        <f t="shared" si="2"/>
        <v>62073.087841372129</v>
      </c>
      <c r="K85" s="199">
        <f t="shared" si="13"/>
        <v>68284.027622776863</v>
      </c>
      <c r="L85" s="204">
        <f t="shared" si="26"/>
        <v>-6210.9397814047334</v>
      </c>
      <c r="M85" s="201">
        <f t="shared" ref="M85:M148" si="28">G85/$G$212*$M$14</f>
        <v>-339.16139690788168</v>
      </c>
      <c r="N85" s="202">
        <f t="shared" ref="N85:N148" si="29">SUM(L85:M85)</f>
        <v>-6550.101178312615</v>
      </c>
      <c r="O85" s="201">
        <f t="shared" ref="O85:O148" si="30">+$P$3</f>
        <v>0</v>
      </c>
      <c r="P85" s="201">
        <f t="shared" ref="P85:P148" si="31">+G85*O85</f>
        <v>0</v>
      </c>
      <c r="Q85" s="201">
        <v>0</v>
      </c>
      <c r="R85" s="202">
        <f t="shared" ref="R85:R148" si="32">+N85-Q85</f>
        <v>-6550.101178312615</v>
      </c>
    </row>
    <row r="86" spans="1:18" x14ac:dyDescent="0.2">
      <c r="A86" s="125">
        <v>7</v>
      </c>
      <c r="B86" s="194">
        <f t="shared" si="4"/>
        <v>44743</v>
      </c>
      <c r="C86" s="214">
        <f t="shared" si="25"/>
        <v>44776</v>
      </c>
      <c r="D86" s="214">
        <f t="shared" si="25"/>
        <v>44796</v>
      </c>
      <c r="E86" s="54" t="s">
        <v>9</v>
      </c>
      <c r="F86" s="159">
        <v>9</v>
      </c>
      <c r="G86" s="196">
        <v>54</v>
      </c>
      <c r="H86" s="197">
        <f t="shared" si="27"/>
        <v>1393.5515841383033</v>
      </c>
      <c r="I86" s="197">
        <f t="shared" si="22"/>
        <v>1266.7977110484107</v>
      </c>
      <c r="J86" s="198">
        <f t="shared" si="2"/>
        <v>68407.076396614182</v>
      </c>
      <c r="K86" s="205">
        <f t="shared" si="13"/>
        <v>75251.785543468373</v>
      </c>
      <c r="L86" s="204">
        <f t="shared" si="26"/>
        <v>-6844.7091468541912</v>
      </c>
      <c r="M86" s="201">
        <f t="shared" si="28"/>
        <v>-373.76970271480843</v>
      </c>
      <c r="N86" s="202">
        <f t="shared" si="29"/>
        <v>-7218.478849569</v>
      </c>
      <c r="O86" s="201">
        <f t="shared" si="30"/>
        <v>0</v>
      </c>
      <c r="P86" s="201">
        <f t="shared" si="31"/>
        <v>0</v>
      </c>
      <c r="Q86" s="201">
        <v>0</v>
      </c>
      <c r="R86" s="202">
        <f t="shared" si="32"/>
        <v>-7218.478849569</v>
      </c>
    </row>
    <row r="87" spans="1:18" x14ac:dyDescent="0.2">
      <c r="A87" s="159">
        <v>8</v>
      </c>
      <c r="B87" s="194">
        <f t="shared" si="4"/>
        <v>44774</v>
      </c>
      <c r="C87" s="214">
        <f t="shared" si="25"/>
        <v>44809</v>
      </c>
      <c r="D87" s="214">
        <f t="shared" si="25"/>
        <v>44827</v>
      </c>
      <c r="E87" s="54" t="s">
        <v>9</v>
      </c>
      <c r="F87" s="159">
        <v>9</v>
      </c>
      <c r="G87" s="196">
        <v>47</v>
      </c>
      <c r="H87" s="197">
        <f t="shared" si="27"/>
        <v>1393.5515841383033</v>
      </c>
      <c r="I87" s="197">
        <f t="shared" si="22"/>
        <v>1266.7977110484107</v>
      </c>
      <c r="J87" s="198">
        <f t="shared" si="2"/>
        <v>59539.492419275302</v>
      </c>
      <c r="K87" s="205">
        <f t="shared" si="13"/>
        <v>65496.924454500251</v>
      </c>
      <c r="L87" s="204">
        <f t="shared" si="26"/>
        <v>-5957.4320352249488</v>
      </c>
      <c r="M87" s="201">
        <f t="shared" si="28"/>
        <v>-325.31807458511105</v>
      </c>
      <c r="N87" s="202">
        <f t="shared" si="29"/>
        <v>-6282.7501098100602</v>
      </c>
      <c r="O87" s="201">
        <f t="shared" si="30"/>
        <v>0</v>
      </c>
      <c r="P87" s="201">
        <f t="shared" si="31"/>
        <v>0</v>
      </c>
      <c r="Q87" s="201">
        <v>0</v>
      </c>
      <c r="R87" s="202">
        <f t="shared" si="32"/>
        <v>-6282.7501098100602</v>
      </c>
    </row>
    <row r="88" spans="1:18" x14ac:dyDescent="0.2">
      <c r="A88" s="159">
        <v>9</v>
      </c>
      <c r="B88" s="194">
        <f t="shared" si="4"/>
        <v>44805</v>
      </c>
      <c r="C88" s="214">
        <f t="shared" si="25"/>
        <v>44839</v>
      </c>
      <c r="D88" s="214">
        <f t="shared" si="25"/>
        <v>44859</v>
      </c>
      <c r="E88" s="54" t="s">
        <v>9</v>
      </c>
      <c r="F88" s="159">
        <v>9</v>
      </c>
      <c r="G88" s="196">
        <v>47</v>
      </c>
      <c r="H88" s="197">
        <f t="shared" si="27"/>
        <v>1393.5515841383033</v>
      </c>
      <c r="I88" s="197">
        <f t="shared" si="22"/>
        <v>1266.7977110484107</v>
      </c>
      <c r="J88" s="198">
        <f t="shared" si="2"/>
        <v>59539.492419275302</v>
      </c>
      <c r="K88" s="205">
        <f t="shared" si="13"/>
        <v>65496.924454500251</v>
      </c>
      <c r="L88" s="204">
        <f t="shared" si="26"/>
        <v>-5957.4320352249488</v>
      </c>
      <c r="M88" s="201">
        <f t="shared" si="28"/>
        <v>-325.31807458511105</v>
      </c>
      <c r="N88" s="202">
        <f t="shared" si="29"/>
        <v>-6282.7501098100602</v>
      </c>
      <c r="O88" s="201">
        <f t="shared" si="30"/>
        <v>0</v>
      </c>
      <c r="P88" s="201">
        <f t="shared" si="31"/>
        <v>0</v>
      </c>
      <c r="Q88" s="201">
        <v>0</v>
      </c>
      <c r="R88" s="202">
        <f t="shared" si="32"/>
        <v>-6282.7501098100602</v>
      </c>
    </row>
    <row r="89" spans="1:18" x14ac:dyDescent="0.2">
      <c r="A89" s="125">
        <v>10</v>
      </c>
      <c r="B89" s="194">
        <f t="shared" si="4"/>
        <v>44835</v>
      </c>
      <c r="C89" s="214">
        <f t="shared" si="25"/>
        <v>44868</v>
      </c>
      <c r="D89" s="214">
        <f t="shared" si="25"/>
        <v>44888</v>
      </c>
      <c r="E89" s="54" t="s">
        <v>9</v>
      </c>
      <c r="F89" s="159">
        <v>9</v>
      </c>
      <c r="G89" s="196">
        <v>39</v>
      </c>
      <c r="H89" s="197">
        <f t="shared" si="27"/>
        <v>1393.5515841383033</v>
      </c>
      <c r="I89" s="197">
        <f t="shared" si="22"/>
        <v>1266.7977110484107</v>
      </c>
      <c r="J89" s="198">
        <f t="shared" si="2"/>
        <v>49405.110730888016</v>
      </c>
      <c r="K89" s="205">
        <f t="shared" si="13"/>
        <v>54348.511781393827</v>
      </c>
      <c r="L89" s="204">
        <f t="shared" si="26"/>
        <v>-4943.4010505058104</v>
      </c>
      <c r="M89" s="201">
        <f t="shared" si="28"/>
        <v>-269.94478529402829</v>
      </c>
      <c r="N89" s="202">
        <f t="shared" si="29"/>
        <v>-5213.3458357998388</v>
      </c>
      <c r="O89" s="201">
        <f t="shared" si="30"/>
        <v>0</v>
      </c>
      <c r="P89" s="201">
        <f t="shared" si="31"/>
        <v>0</v>
      </c>
      <c r="Q89" s="201">
        <v>0</v>
      </c>
      <c r="R89" s="202">
        <f t="shared" si="32"/>
        <v>-5213.3458357998388</v>
      </c>
    </row>
    <row r="90" spans="1:18" x14ac:dyDescent="0.2">
      <c r="A90" s="159">
        <v>11</v>
      </c>
      <c r="B90" s="194">
        <f t="shared" si="4"/>
        <v>44866</v>
      </c>
      <c r="C90" s="214">
        <f t="shared" si="25"/>
        <v>44900</v>
      </c>
      <c r="D90" s="214">
        <f t="shared" si="25"/>
        <v>44918</v>
      </c>
      <c r="E90" s="54" t="s">
        <v>9</v>
      </c>
      <c r="F90" s="159">
        <v>9</v>
      </c>
      <c r="G90" s="196">
        <v>45</v>
      </c>
      <c r="H90" s="197">
        <f t="shared" si="27"/>
        <v>1393.5515841383033</v>
      </c>
      <c r="I90" s="197">
        <f t="shared" si="22"/>
        <v>1266.7977110484107</v>
      </c>
      <c r="J90" s="198">
        <f t="shared" si="2"/>
        <v>57005.896997178483</v>
      </c>
      <c r="K90" s="205">
        <f t="shared" si="13"/>
        <v>62709.821286223647</v>
      </c>
      <c r="L90" s="204">
        <f t="shared" si="26"/>
        <v>-5703.9242890451642</v>
      </c>
      <c r="M90" s="201">
        <f t="shared" si="28"/>
        <v>-311.47475226234036</v>
      </c>
      <c r="N90" s="202">
        <f t="shared" si="29"/>
        <v>-6015.3990413075044</v>
      </c>
      <c r="O90" s="201">
        <f t="shared" si="30"/>
        <v>0</v>
      </c>
      <c r="P90" s="201">
        <f t="shared" si="31"/>
        <v>0</v>
      </c>
      <c r="Q90" s="201">
        <v>0</v>
      </c>
      <c r="R90" s="202">
        <f t="shared" si="32"/>
        <v>-6015.3990413075044</v>
      </c>
    </row>
    <row r="91" spans="1:18" s="218" customFormat="1" x14ac:dyDescent="0.2">
      <c r="A91" s="159">
        <v>12</v>
      </c>
      <c r="B91" s="216">
        <f t="shared" si="4"/>
        <v>44896</v>
      </c>
      <c r="C91" s="214">
        <f t="shared" si="25"/>
        <v>44930</v>
      </c>
      <c r="D91" s="214">
        <f t="shared" si="25"/>
        <v>44950</v>
      </c>
      <c r="E91" s="217" t="s">
        <v>9</v>
      </c>
      <c r="F91" s="170">
        <v>9</v>
      </c>
      <c r="G91" s="196">
        <v>61</v>
      </c>
      <c r="H91" s="206">
        <f t="shared" si="27"/>
        <v>1393.5515841383033</v>
      </c>
      <c r="I91" s="206">
        <f t="shared" si="22"/>
        <v>1266.7977110484107</v>
      </c>
      <c r="J91" s="207">
        <f t="shared" si="2"/>
        <v>77274.660373953055</v>
      </c>
      <c r="K91" s="208">
        <f t="shared" si="13"/>
        <v>85006.646632436503</v>
      </c>
      <c r="L91" s="209">
        <f t="shared" si="26"/>
        <v>-7731.9862584834482</v>
      </c>
      <c r="M91" s="201">
        <f t="shared" si="28"/>
        <v>-422.22133084450576</v>
      </c>
      <c r="N91" s="202">
        <f t="shared" si="29"/>
        <v>-8154.2075893279543</v>
      </c>
      <c r="O91" s="201">
        <f t="shared" si="30"/>
        <v>0</v>
      </c>
      <c r="P91" s="201">
        <f t="shared" si="31"/>
        <v>0</v>
      </c>
      <c r="Q91" s="201">
        <v>0</v>
      </c>
      <c r="R91" s="202">
        <f t="shared" si="32"/>
        <v>-8154.2075893279543</v>
      </c>
    </row>
    <row r="92" spans="1:18" x14ac:dyDescent="0.2">
      <c r="A92" s="125">
        <v>1</v>
      </c>
      <c r="B92" s="194">
        <f t="shared" si="4"/>
        <v>44562</v>
      </c>
      <c r="C92" s="211">
        <f t="shared" ref="C92:D95" si="33">+C80</f>
        <v>44595</v>
      </c>
      <c r="D92" s="211">
        <f t="shared" si="33"/>
        <v>44615</v>
      </c>
      <c r="E92" s="195" t="s">
        <v>8</v>
      </c>
      <c r="F92" s="125">
        <v>9</v>
      </c>
      <c r="G92" s="196">
        <v>92</v>
      </c>
      <c r="H92" s="197">
        <f t="shared" si="27"/>
        <v>1393.5515841383033</v>
      </c>
      <c r="I92" s="197">
        <f t="shared" si="22"/>
        <v>1266.7977110484107</v>
      </c>
      <c r="J92" s="198">
        <f t="shared" si="2"/>
        <v>116545.38941645379</v>
      </c>
      <c r="K92" s="199">
        <f t="shared" si="13"/>
        <v>128206.7457407239</v>
      </c>
      <c r="L92" s="200">
        <f t="shared" si="26"/>
        <v>-11661.356324270106</v>
      </c>
      <c r="M92" s="201">
        <f t="shared" si="28"/>
        <v>-636.79282684745135</v>
      </c>
      <c r="N92" s="202">
        <f t="shared" si="29"/>
        <v>-12298.149151117557</v>
      </c>
      <c r="O92" s="201">
        <f t="shared" si="30"/>
        <v>0</v>
      </c>
      <c r="P92" s="201">
        <f t="shared" si="31"/>
        <v>0</v>
      </c>
      <c r="Q92" s="201">
        <v>0</v>
      </c>
      <c r="R92" s="202">
        <f t="shared" si="32"/>
        <v>-12298.149151117557</v>
      </c>
    </row>
    <row r="93" spans="1:18" x14ac:dyDescent="0.2">
      <c r="A93" s="159">
        <v>2</v>
      </c>
      <c r="B93" s="194">
        <f t="shared" si="4"/>
        <v>44593</v>
      </c>
      <c r="C93" s="214">
        <f t="shared" si="33"/>
        <v>44623</v>
      </c>
      <c r="D93" s="214">
        <f t="shared" si="33"/>
        <v>44642</v>
      </c>
      <c r="E93" s="203" t="s">
        <v>8</v>
      </c>
      <c r="F93" s="159">
        <v>9</v>
      </c>
      <c r="G93" s="196">
        <v>88</v>
      </c>
      <c r="H93" s="197">
        <f t="shared" si="27"/>
        <v>1393.5515841383033</v>
      </c>
      <c r="I93" s="197">
        <f t="shared" si="22"/>
        <v>1266.7977110484107</v>
      </c>
      <c r="J93" s="198">
        <f t="shared" si="2"/>
        <v>111478.19857226015</v>
      </c>
      <c r="K93" s="199">
        <f t="shared" si="13"/>
        <v>122632.53940417069</v>
      </c>
      <c r="L93" s="200">
        <f t="shared" si="26"/>
        <v>-11154.340831910537</v>
      </c>
      <c r="M93" s="201">
        <f t="shared" si="28"/>
        <v>-609.10618220190997</v>
      </c>
      <c r="N93" s="202">
        <f t="shared" si="29"/>
        <v>-11763.447014112446</v>
      </c>
      <c r="O93" s="201">
        <f t="shared" si="30"/>
        <v>0</v>
      </c>
      <c r="P93" s="201">
        <f t="shared" si="31"/>
        <v>0</v>
      </c>
      <c r="Q93" s="201">
        <v>0</v>
      </c>
      <c r="R93" s="202">
        <f t="shared" si="32"/>
        <v>-11763.447014112446</v>
      </c>
    </row>
    <row r="94" spans="1:18" x14ac:dyDescent="0.2">
      <c r="A94" s="159">
        <v>3</v>
      </c>
      <c r="B94" s="194">
        <f t="shared" si="4"/>
        <v>44621</v>
      </c>
      <c r="C94" s="214">
        <f t="shared" si="33"/>
        <v>44656</v>
      </c>
      <c r="D94" s="214">
        <f t="shared" si="33"/>
        <v>44676</v>
      </c>
      <c r="E94" s="203" t="s">
        <v>8</v>
      </c>
      <c r="F94" s="159">
        <v>9</v>
      </c>
      <c r="G94" s="196">
        <v>71</v>
      </c>
      <c r="H94" s="197">
        <f t="shared" si="27"/>
        <v>1393.5515841383033</v>
      </c>
      <c r="I94" s="197">
        <f t="shared" si="22"/>
        <v>1266.7977110484107</v>
      </c>
      <c r="J94" s="198">
        <f t="shared" si="2"/>
        <v>89942.63748443716</v>
      </c>
      <c r="K94" s="199">
        <f t="shared" ref="K94:K133" si="34">+$G94*H94</f>
        <v>98942.162473819539</v>
      </c>
      <c r="L94" s="200">
        <f>+J94-K94</f>
        <v>-8999.5249893823784</v>
      </c>
      <c r="M94" s="201">
        <f t="shared" si="28"/>
        <v>-491.4379424583592</v>
      </c>
      <c r="N94" s="202">
        <f t="shared" si="29"/>
        <v>-9490.9629318407369</v>
      </c>
      <c r="O94" s="201">
        <f t="shared" si="30"/>
        <v>0</v>
      </c>
      <c r="P94" s="201">
        <f t="shared" si="31"/>
        <v>0</v>
      </c>
      <c r="Q94" s="201">
        <v>0</v>
      </c>
      <c r="R94" s="202">
        <f t="shared" si="32"/>
        <v>-9490.9629318407369</v>
      </c>
    </row>
    <row r="95" spans="1:18" x14ac:dyDescent="0.2">
      <c r="A95" s="125">
        <v>4</v>
      </c>
      <c r="B95" s="194">
        <f t="shared" si="4"/>
        <v>44652</v>
      </c>
      <c r="C95" s="214">
        <f t="shared" si="33"/>
        <v>44685</v>
      </c>
      <c r="D95" s="214">
        <f t="shared" si="33"/>
        <v>44705</v>
      </c>
      <c r="E95" s="203" t="s">
        <v>8</v>
      </c>
      <c r="F95" s="159">
        <v>9</v>
      </c>
      <c r="G95" s="196">
        <v>76</v>
      </c>
      <c r="H95" s="197">
        <f t="shared" si="27"/>
        <v>1393.5515841383033</v>
      </c>
      <c r="I95" s="197">
        <f t="shared" si="22"/>
        <v>1266.7977110484107</v>
      </c>
      <c r="J95" s="198">
        <f t="shared" si="2"/>
        <v>96276.62603967922</v>
      </c>
      <c r="K95" s="199">
        <f t="shared" si="34"/>
        <v>105909.92039451105</v>
      </c>
      <c r="L95" s="200">
        <f t="shared" ref="L95:L105" si="35">+J95-K95</f>
        <v>-9633.294354831829</v>
      </c>
      <c r="M95" s="201">
        <f t="shared" si="28"/>
        <v>-526.04624826528595</v>
      </c>
      <c r="N95" s="202">
        <f t="shared" si="29"/>
        <v>-10159.340603097115</v>
      </c>
      <c r="O95" s="201">
        <f t="shared" si="30"/>
        <v>0</v>
      </c>
      <c r="P95" s="201">
        <f t="shared" si="31"/>
        <v>0</v>
      </c>
      <c r="Q95" s="201">
        <v>0</v>
      </c>
      <c r="R95" s="202">
        <f t="shared" si="32"/>
        <v>-10159.340603097115</v>
      </c>
    </row>
    <row r="96" spans="1:18" x14ac:dyDescent="0.2">
      <c r="A96" s="159">
        <v>5</v>
      </c>
      <c r="B96" s="194">
        <f t="shared" si="4"/>
        <v>44682</v>
      </c>
      <c r="C96" s="214">
        <f t="shared" ref="C96:D116" si="36">+C84</f>
        <v>44715</v>
      </c>
      <c r="D96" s="214">
        <f t="shared" si="36"/>
        <v>44735</v>
      </c>
      <c r="E96" s="54" t="s">
        <v>8</v>
      </c>
      <c r="F96" s="159">
        <v>9</v>
      </c>
      <c r="G96" s="196">
        <v>134</v>
      </c>
      <c r="H96" s="197">
        <f t="shared" si="27"/>
        <v>1393.5515841383033</v>
      </c>
      <c r="I96" s="197">
        <f t="shared" si="22"/>
        <v>1266.7977110484107</v>
      </c>
      <c r="J96" s="198">
        <f t="shared" si="2"/>
        <v>169750.89328048704</v>
      </c>
      <c r="K96" s="199">
        <f t="shared" si="34"/>
        <v>186735.91227453263</v>
      </c>
      <c r="L96" s="200">
        <f t="shared" si="35"/>
        <v>-16985.018994045589</v>
      </c>
      <c r="M96" s="201">
        <f t="shared" si="28"/>
        <v>-927.50259562563565</v>
      </c>
      <c r="N96" s="202">
        <f t="shared" si="29"/>
        <v>-17912.521589671225</v>
      </c>
      <c r="O96" s="201">
        <f t="shared" si="30"/>
        <v>0</v>
      </c>
      <c r="P96" s="201">
        <f t="shared" si="31"/>
        <v>0</v>
      </c>
      <c r="Q96" s="201">
        <v>0</v>
      </c>
      <c r="R96" s="202">
        <f t="shared" si="32"/>
        <v>-17912.521589671225</v>
      </c>
    </row>
    <row r="97" spans="1:18" x14ac:dyDescent="0.2">
      <c r="A97" s="159">
        <v>6</v>
      </c>
      <c r="B97" s="194">
        <f t="shared" si="4"/>
        <v>44713</v>
      </c>
      <c r="C97" s="214">
        <f t="shared" si="36"/>
        <v>44747</v>
      </c>
      <c r="D97" s="214">
        <f t="shared" si="36"/>
        <v>44767</v>
      </c>
      <c r="E97" s="54" t="s">
        <v>8</v>
      </c>
      <c r="F97" s="159">
        <v>9</v>
      </c>
      <c r="G97" s="196">
        <v>145</v>
      </c>
      <c r="H97" s="197">
        <f t="shared" si="27"/>
        <v>1393.5515841383033</v>
      </c>
      <c r="I97" s="197">
        <f t="shared" si="22"/>
        <v>1266.7977110484107</v>
      </c>
      <c r="J97" s="198">
        <f t="shared" si="2"/>
        <v>183685.66810201955</v>
      </c>
      <c r="K97" s="199">
        <f t="shared" si="34"/>
        <v>202064.97970005398</v>
      </c>
      <c r="L97" s="204">
        <f t="shared" si="35"/>
        <v>-18379.31159803443</v>
      </c>
      <c r="M97" s="201">
        <f t="shared" si="28"/>
        <v>-1003.6408684008744</v>
      </c>
      <c r="N97" s="202">
        <f t="shared" si="29"/>
        <v>-19382.952466435305</v>
      </c>
      <c r="O97" s="201">
        <f t="shared" si="30"/>
        <v>0</v>
      </c>
      <c r="P97" s="201">
        <f t="shared" si="31"/>
        <v>0</v>
      </c>
      <c r="Q97" s="201">
        <v>0</v>
      </c>
      <c r="R97" s="202">
        <f t="shared" si="32"/>
        <v>-19382.952466435305</v>
      </c>
    </row>
    <row r="98" spans="1:18" x14ac:dyDescent="0.2">
      <c r="A98" s="125">
        <v>7</v>
      </c>
      <c r="B98" s="194">
        <f t="shared" si="4"/>
        <v>44743</v>
      </c>
      <c r="C98" s="214">
        <f t="shared" si="36"/>
        <v>44776</v>
      </c>
      <c r="D98" s="214">
        <f t="shared" si="36"/>
        <v>44796</v>
      </c>
      <c r="E98" s="54" t="s">
        <v>8</v>
      </c>
      <c r="F98" s="159">
        <v>9</v>
      </c>
      <c r="G98" s="196">
        <v>161</v>
      </c>
      <c r="H98" s="197">
        <f t="shared" si="27"/>
        <v>1393.5515841383033</v>
      </c>
      <c r="I98" s="197">
        <f t="shared" si="22"/>
        <v>1266.7977110484107</v>
      </c>
      <c r="J98" s="198">
        <f t="shared" si="2"/>
        <v>203954.43147879414</v>
      </c>
      <c r="K98" s="205">
        <f t="shared" si="34"/>
        <v>224361.80504626682</v>
      </c>
      <c r="L98" s="204">
        <f t="shared" si="35"/>
        <v>-20407.373567472678</v>
      </c>
      <c r="M98" s="201">
        <f t="shared" si="28"/>
        <v>-1114.3874469830398</v>
      </c>
      <c r="N98" s="202">
        <f t="shared" si="29"/>
        <v>-21521.761014455718</v>
      </c>
      <c r="O98" s="201">
        <f t="shared" si="30"/>
        <v>0</v>
      </c>
      <c r="P98" s="201">
        <f t="shared" si="31"/>
        <v>0</v>
      </c>
      <c r="Q98" s="201">
        <v>0</v>
      </c>
      <c r="R98" s="202">
        <f t="shared" si="32"/>
        <v>-21521.761014455718</v>
      </c>
    </row>
    <row r="99" spans="1:18" x14ac:dyDescent="0.2">
      <c r="A99" s="159">
        <v>8</v>
      </c>
      <c r="B99" s="194">
        <f t="shared" si="4"/>
        <v>44774</v>
      </c>
      <c r="C99" s="214">
        <f t="shared" si="36"/>
        <v>44809</v>
      </c>
      <c r="D99" s="214">
        <f t="shared" si="36"/>
        <v>44827</v>
      </c>
      <c r="E99" s="54" t="s">
        <v>8</v>
      </c>
      <c r="F99" s="159">
        <v>9</v>
      </c>
      <c r="G99" s="196">
        <v>154</v>
      </c>
      <c r="H99" s="197">
        <f t="shared" si="27"/>
        <v>1393.5515841383033</v>
      </c>
      <c r="I99" s="197">
        <f t="shared" si="22"/>
        <v>1266.7977110484107</v>
      </c>
      <c r="J99" s="198">
        <f t="shared" si="2"/>
        <v>195086.84750145525</v>
      </c>
      <c r="K99" s="205">
        <f t="shared" si="34"/>
        <v>214606.9439572987</v>
      </c>
      <c r="L99" s="204">
        <f t="shared" si="35"/>
        <v>-19520.09645584345</v>
      </c>
      <c r="M99" s="201">
        <f t="shared" si="28"/>
        <v>-1065.9358188533424</v>
      </c>
      <c r="N99" s="202">
        <f t="shared" si="29"/>
        <v>-20586.032274696794</v>
      </c>
      <c r="O99" s="201">
        <f t="shared" si="30"/>
        <v>0</v>
      </c>
      <c r="P99" s="201">
        <f t="shared" si="31"/>
        <v>0</v>
      </c>
      <c r="Q99" s="201">
        <v>0</v>
      </c>
      <c r="R99" s="202">
        <f t="shared" si="32"/>
        <v>-20586.032274696794</v>
      </c>
    </row>
    <row r="100" spans="1:18" x14ac:dyDescent="0.2">
      <c r="A100" s="159">
        <v>9</v>
      </c>
      <c r="B100" s="194">
        <f t="shared" si="4"/>
        <v>44805</v>
      </c>
      <c r="C100" s="214">
        <f t="shared" si="36"/>
        <v>44839</v>
      </c>
      <c r="D100" s="214">
        <f t="shared" si="36"/>
        <v>44859</v>
      </c>
      <c r="E100" s="54" t="s">
        <v>8</v>
      </c>
      <c r="F100" s="159">
        <v>9</v>
      </c>
      <c r="G100" s="196">
        <v>132</v>
      </c>
      <c r="H100" s="197">
        <f t="shared" si="27"/>
        <v>1393.5515841383033</v>
      </c>
      <c r="I100" s="197">
        <f t="shared" si="22"/>
        <v>1266.7977110484107</v>
      </c>
      <c r="J100" s="198">
        <f t="shared" si="2"/>
        <v>167217.29785839023</v>
      </c>
      <c r="K100" s="205">
        <f t="shared" si="34"/>
        <v>183948.80910625603</v>
      </c>
      <c r="L100" s="204">
        <f t="shared" si="35"/>
        <v>-16731.511247865797</v>
      </c>
      <c r="M100" s="201">
        <f t="shared" si="28"/>
        <v>-913.65927330286502</v>
      </c>
      <c r="N100" s="202">
        <f t="shared" si="29"/>
        <v>-17645.170521168664</v>
      </c>
      <c r="O100" s="201">
        <f t="shared" si="30"/>
        <v>0</v>
      </c>
      <c r="P100" s="201">
        <f t="shared" si="31"/>
        <v>0</v>
      </c>
      <c r="Q100" s="201">
        <v>0</v>
      </c>
      <c r="R100" s="202">
        <f t="shared" si="32"/>
        <v>-17645.170521168664</v>
      </c>
    </row>
    <row r="101" spans="1:18" x14ac:dyDescent="0.2">
      <c r="A101" s="125">
        <v>10</v>
      </c>
      <c r="B101" s="194">
        <f t="shared" si="4"/>
        <v>44835</v>
      </c>
      <c r="C101" s="214">
        <f t="shared" si="36"/>
        <v>44868</v>
      </c>
      <c r="D101" s="214">
        <f t="shared" si="36"/>
        <v>44888</v>
      </c>
      <c r="E101" s="54" t="s">
        <v>8</v>
      </c>
      <c r="F101" s="159">
        <v>9</v>
      </c>
      <c r="G101" s="196">
        <v>91</v>
      </c>
      <c r="H101" s="197">
        <f t="shared" si="27"/>
        <v>1393.5515841383033</v>
      </c>
      <c r="I101" s="197">
        <f t="shared" si="22"/>
        <v>1266.7977110484107</v>
      </c>
      <c r="J101" s="198">
        <f t="shared" si="2"/>
        <v>115278.59170540537</v>
      </c>
      <c r="K101" s="205">
        <f t="shared" si="34"/>
        <v>126813.1941565856</v>
      </c>
      <c r="L101" s="204">
        <f t="shared" si="35"/>
        <v>-11534.602451180224</v>
      </c>
      <c r="M101" s="201">
        <f t="shared" si="28"/>
        <v>-629.87116568606598</v>
      </c>
      <c r="N101" s="202">
        <f t="shared" si="29"/>
        <v>-12164.473616866289</v>
      </c>
      <c r="O101" s="201">
        <f t="shared" si="30"/>
        <v>0</v>
      </c>
      <c r="P101" s="201">
        <f t="shared" si="31"/>
        <v>0</v>
      </c>
      <c r="Q101" s="201">
        <v>0</v>
      </c>
      <c r="R101" s="202">
        <f t="shared" si="32"/>
        <v>-12164.473616866289</v>
      </c>
    </row>
    <row r="102" spans="1:18" x14ac:dyDescent="0.2">
      <c r="A102" s="159">
        <v>11</v>
      </c>
      <c r="B102" s="194">
        <f t="shared" si="4"/>
        <v>44866</v>
      </c>
      <c r="C102" s="214">
        <f t="shared" si="36"/>
        <v>44900</v>
      </c>
      <c r="D102" s="214">
        <f t="shared" si="36"/>
        <v>44918</v>
      </c>
      <c r="E102" s="54" t="s">
        <v>8</v>
      </c>
      <c r="F102" s="159">
        <v>9</v>
      </c>
      <c r="G102" s="196">
        <v>67</v>
      </c>
      <c r="H102" s="197">
        <f t="shared" si="27"/>
        <v>1393.5515841383033</v>
      </c>
      <c r="I102" s="197">
        <f t="shared" si="22"/>
        <v>1266.7977110484107</v>
      </c>
      <c r="J102" s="198">
        <f t="shared" si="2"/>
        <v>84875.446640243521</v>
      </c>
      <c r="K102" s="205">
        <f t="shared" si="34"/>
        <v>93367.956137266316</v>
      </c>
      <c r="L102" s="204">
        <f t="shared" si="35"/>
        <v>-8492.5094970227947</v>
      </c>
      <c r="M102" s="201">
        <f t="shared" si="28"/>
        <v>-463.75129781281782</v>
      </c>
      <c r="N102" s="202">
        <f t="shared" si="29"/>
        <v>-8956.2607948356126</v>
      </c>
      <c r="O102" s="201">
        <f t="shared" si="30"/>
        <v>0</v>
      </c>
      <c r="P102" s="201">
        <f t="shared" si="31"/>
        <v>0</v>
      </c>
      <c r="Q102" s="201">
        <v>0</v>
      </c>
      <c r="R102" s="202">
        <f t="shared" si="32"/>
        <v>-8956.2607948356126</v>
      </c>
    </row>
    <row r="103" spans="1:18" s="218" customFormat="1" x14ac:dyDescent="0.2">
      <c r="A103" s="159">
        <v>12</v>
      </c>
      <c r="B103" s="216">
        <f t="shared" si="4"/>
        <v>44896</v>
      </c>
      <c r="C103" s="214">
        <f t="shared" si="36"/>
        <v>44930</v>
      </c>
      <c r="D103" s="214">
        <f t="shared" si="36"/>
        <v>44950</v>
      </c>
      <c r="E103" s="217" t="s">
        <v>8</v>
      </c>
      <c r="F103" s="170">
        <v>9</v>
      </c>
      <c r="G103" s="196">
        <v>96</v>
      </c>
      <c r="H103" s="206">
        <f t="shared" si="27"/>
        <v>1393.5515841383033</v>
      </c>
      <c r="I103" s="206">
        <f t="shared" si="22"/>
        <v>1266.7977110484107</v>
      </c>
      <c r="J103" s="207">
        <f t="shared" si="2"/>
        <v>121612.58026064743</v>
      </c>
      <c r="K103" s="208">
        <f t="shared" si="34"/>
        <v>133780.95207727712</v>
      </c>
      <c r="L103" s="209">
        <f t="shared" si="35"/>
        <v>-12168.371816629689</v>
      </c>
      <c r="M103" s="201">
        <f t="shared" si="28"/>
        <v>-664.47947149299273</v>
      </c>
      <c r="N103" s="202">
        <f t="shared" si="29"/>
        <v>-12832.851288122682</v>
      </c>
      <c r="O103" s="201">
        <f t="shared" si="30"/>
        <v>0</v>
      </c>
      <c r="P103" s="201">
        <f t="shared" si="31"/>
        <v>0</v>
      </c>
      <c r="Q103" s="201">
        <v>0</v>
      </c>
      <c r="R103" s="202">
        <f t="shared" si="32"/>
        <v>-12832.851288122682</v>
      </c>
    </row>
    <row r="104" spans="1:18" x14ac:dyDescent="0.2">
      <c r="A104" s="125">
        <v>1</v>
      </c>
      <c r="B104" s="194">
        <f t="shared" si="4"/>
        <v>44562</v>
      </c>
      <c r="C104" s="211">
        <f t="shared" si="36"/>
        <v>44595</v>
      </c>
      <c r="D104" s="211">
        <f t="shared" si="36"/>
        <v>44615</v>
      </c>
      <c r="E104" s="195" t="s">
        <v>19</v>
      </c>
      <c r="F104" s="125">
        <v>9</v>
      </c>
      <c r="G104" s="196">
        <v>42</v>
      </c>
      <c r="H104" s="197">
        <f t="shared" si="27"/>
        <v>1393.5515841383033</v>
      </c>
      <c r="I104" s="197">
        <f t="shared" si="22"/>
        <v>1266.7977110484107</v>
      </c>
      <c r="J104" s="198">
        <f t="shared" si="2"/>
        <v>53205.50386403325</v>
      </c>
      <c r="K104" s="199">
        <f t="shared" si="34"/>
        <v>58529.16653380874</v>
      </c>
      <c r="L104" s="200">
        <f t="shared" si="35"/>
        <v>-5323.6626697754909</v>
      </c>
      <c r="M104" s="201">
        <f t="shared" si="28"/>
        <v>-290.7097687781843</v>
      </c>
      <c r="N104" s="202">
        <f t="shared" si="29"/>
        <v>-5614.3724385536752</v>
      </c>
      <c r="O104" s="201">
        <f t="shared" si="30"/>
        <v>0</v>
      </c>
      <c r="P104" s="201">
        <f t="shared" si="31"/>
        <v>0</v>
      </c>
      <c r="Q104" s="201">
        <v>0</v>
      </c>
      <c r="R104" s="202">
        <f t="shared" si="32"/>
        <v>-5614.3724385536752</v>
      </c>
    </row>
    <row r="105" spans="1:18" x14ac:dyDescent="0.2">
      <c r="A105" s="159">
        <v>2</v>
      </c>
      <c r="B105" s="194">
        <f t="shared" si="4"/>
        <v>44593</v>
      </c>
      <c r="C105" s="214">
        <f t="shared" si="36"/>
        <v>44623</v>
      </c>
      <c r="D105" s="214">
        <f t="shared" si="36"/>
        <v>44642</v>
      </c>
      <c r="E105" s="203" t="s">
        <v>19</v>
      </c>
      <c r="F105" s="159">
        <v>9</v>
      </c>
      <c r="G105" s="196">
        <v>43</v>
      </c>
      <c r="H105" s="197">
        <f t="shared" si="27"/>
        <v>1393.5515841383033</v>
      </c>
      <c r="I105" s="197">
        <f t="shared" si="22"/>
        <v>1266.7977110484107</v>
      </c>
      <c r="J105" s="198">
        <f t="shared" si="2"/>
        <v>54472.301575081663</v>
      </c>
      <c r="K105" s="199">
        <f t="shared" si="34"/>
        <v>59922.718117947043</v>
      </c>
      <c r="L105" s="200">
        <f t="shared" si="35"/>
        <v>-5450.4165428653796</v>
      </c>
      <c r="M105" s="201">
        <f t="shared" si="28"/>
        <v>-297.63142993956967</v>
      </c>
      <c r="N105" s="202">
        <f t="shared" si="29"/>
        <v>-5748.0479728049495</v>
      </c>
      <c r="O105" s="201">
        <f t="shared" si="30"/>
        <v>0</v>
      </c>
      <c r="P105" s="201">
        <f t="shared" si="31"/>
        <v>0</v>
      </c>
      <c r="Q105" s="201">
        <v>0</v>
      </c>
      <c r="R105" s="202">
        <f t="shared" si="32"/>
        <v>-5748.0479728049495</v>
      </c>
    </row>
    <row r="106" spans="1:18" x14ac:dyDescent="0.2">
      <c r="A106" s="159">
        <v>3</v>
      </c>
      <c r="B106" s="194">
        <f t="shared" si="4"/>
        <v>44621</v>
      </c>
      <c r="C106" s="214">
        <f t="shared" si="36"/>
        <v>44656</v>
      </c>
      <c r="D106" s="214">
        <f t="shared" si="36"/>
        <v>44676</v>
      </c>
      <c r="E106" s="203" t="s">
        <v>19</v>
      </c>
      <c r="F106" s="159">
        <v>9</v>
      </c>
      <c r="G106" s="196">
        <v>42</v>
      </c>
      <c r="H106" s="197">
        <f t="shared" si="27"/>
        <v>1393.5515841383033</v>
      </c>
      <c r="I106" s="197">
        <f t="shared" si="22"/>
        <v>1266.7977110484107</v>
      </c>
      <c r="J106" s="198">
        <f t="shared" si="2"/>
        <v>53205.50386403325</v>
      </c>
      <c r="K106" s="199">
        <f t="shared" si="34"/>
        <v>58529.16653380874</v>
      </c>
      <c r="L106" s="200">
        <f>+J106-K106</f>
        <v>-5323.6626697754909</v>
      </c>
      <c r="M106" s="201">
        <f t="shared" si="28"/>
        <v>-290.7097687781843</v>
      </c>
      <c r="N106" s="202">
        <f t="shared" si="29"/>
        <v>-5614.3724385536752</v>
      </c>
      <c r="O106" s="201">
        <f t="shared" si="30"/>
        <v>0</v>
      </c>
      <c r="P106" s="201">
        <f t="shared" si="31"/>
        <v>0</v>
      </c>
      <c r="Q106" s="201">
        <v>0</v>
      </c>
      <c r="R106" s="202">
        <f t="shared" si="32"/>
        <v>-5614.3724385536752</v>
      </c>
    </row>
    <row r="107" spans="1:18" x14ac:dyDescent="0.2">
      <c r="A107" s="125">
        <v>4</v>
      </c>
      <c r="B107" s="194">
        <f t="shared" si="4"/>
        <v>44652</v>
      </c>
      <c r="C107" s="214">
        <f t="shared" si="36"/>
        <v>44685</v>
      </c>
      <c r="D107" s="214">
        <f t="shared" si="36"/>
        <v>44705</v>
      </c>
      <c r="E107" s="54" t="s">
        <v>19</v>
      </c>
      <c r="F107" s="159">
        <v>9</v>
      </c>
      <c r="G107" s="196">
        <v>52</v>
      </c>
      <c r="H107" s="197">
        <f t="shared" si="27"/>
        <v>1393.5515841383033</v>
      </c>
      <c r="I107" s="197">
        <f t="shared" si="22"/>
        <v>1266.7977110484107</v>
      </c>
      <c r="J107" s="198">
        <f t="shared" si="2"/>
        <v>65873.480974517355</v>
      </c>
      <c r="K107" s="199">
        <f t="shared" si="34"/>
        <v>72464.682375191769</v>
      </c>
      <c r="L107" s="200">
        <f t="shared" ref="L107:L115" si="37">+J107-K107</f>
        <v>-6591.2014006744139</v>
      </c>
      <c r="M107" s="201">
        <f t="shared" si="28"/>
        <v>-359.92638039203769</v>
      </c>
      <c r="N107" s="202">
        <f t="shared" si="29"/>
        <v>-6951.1277810664515</v>
      </c>
      <c r="O107" s="201">
        <f t="shared" si="30"/>
        <v>0</v>
      </c>
      <c r="P107" s="201">
        <f t="shared" si="31"/>
        <v>0</v>
      </c>
      <c r="Q107" s="201">
        <v>0</v>
      </c>
      <c r="R107" s="202">
        <f t="shared" si="32"/>
        <v>-6951.1277810664515</v>
      </c>
    </row>
    <row r="108" spans="1:18" x14ac:dyDescent="0.2">
      <c r="A108" s="159">
        <v>5</v>
      </c>
      <c r="B108" s="194">
        <f t="shared" si="4"/>
        <v>44682</v>
      </c>
      <c r="C108" s="214">
        <f t="shared" si="36"/>
        <v>44715</v>
      </c>
      <c r="D108" s="214">
        <f t="shared" si="36"/>
        <v>44735</v>
      </c>
      <c r="E108" s="54" t="s">
        <v>19</v>
      </c>
      <c r="F108" s="159">
        <v>9</v>
      </c>
      <c r="G108" s="196">
        <v>52</v>
      </c>
      <c r="H108" s="197">
        <f t="shared" si="27"/>
        <v>1393.5515841383033</v>
      </c>
      <c r="I108" s="197">
        <f t="shared" ref="I108:I127" si="38">$J$3</f>
        <v>1266.7977110484107</v>
      </c>
      <c r="J108" s="198">
        <f t="shared" si="2"/>
        <v>65873.480974517355</v>
      </c>
      <c r="K108" s="199">
        <f t="shared" si="34"/>
        <v>72464.682375191769</v>
      </c>
      <c r="L108" s="200">
        <f t="shared" si="37"/>
        <v>-6591.2014006744139</v>
      </c>
      <c r="M108" s="201">
        <f t="shared" si="28"/>
        <v>-359.92638039203769</v>
      </c>
      <c r="N108" s="202">
        <f t="shared" si="29"/>
        <v>-6951.1277810664515</v>
      </c>
      <c r="O108" s="201">
        <f t="shared" si="30"/>
        <v>0</v>
      </c>
      <c r="P108" s="201">
        <f t="shared" si="31"/>
        <v>0</v>
      </c>
      <c r="Q108" s="201">
        <v>0</v>
      </c>
      <c r="R108" s="202">
        <f t="shared" si="32"/>
        <v>-6951.1277810664515</v>
      </c>
    </row>
    <row r="109" spans="1:18" x14ac:dyDescent="0.2">
      <c r="A109" s="159">
        <v>6</v>
      </c>
      <c r="B109" s="194">
        <f t="shared" ref="B109:B148" si="39">DATE($R$1,A109,1)</f>
        <v>44713</v>
      </c>
      <c r="C109" s="214">
        <f t="shared" si="36"/>
        <v>44747</v>
      </c>
      <c r="D109" s="214">
        <f t="shared" si="36"/>
        <v>44767</v>
      </c>
      <c r="E109" s="54" t="s">
        <v>19</v>
      </c>
      <c r="F109" s="159">
        <v>9</v>
      </c>
      <c r="G109" s="196">
        <v>56</v>
      </c>
      <c r="H109" s="197">
        <f t="shared" si="27"/>
        <v>1393.5515841383033</v>
      </c>
      <c r="I109" s="197">
        <f t="shared" si="38"/>
        <v>1266.7977110484107</v>
      </c>
      <c r="J109" s="198">
        <f t="shared" ref="J109:J148" si="40">+$G109*I109</f>
        <v>70940.671818711009</v>
      </c>
      <c r="K109" s="199">
        <f t="shared" si="34"/>
        <v>78038.888711744978</v>
      </c>
      <c r="L109" s="204">
        <f t="shared" si="37"/>
        <v>-7098.2168930339685</v>
      </c>
      <c r="M109" s="201">
        <f t="shared" si="28"/>
        <v>-387.61302503757906</v>
      </c>
      <c r="N109" s="202">
        <f t="shared" si="29"/>
        <v>-7485.8299180715476</v>
      </c>
      <c r="O109" s="201">
        <f t="shared" si="30"/>
        <v>0</v>
      </c>
      <c r="P109" s="201">
        <f t="shared" si="31"/>
        <v>0</v>
      </c>
      <c r="Q109" s="201">
        <v>0</v>
      </c>
      <c r="R109" s="202">
        <f t="shared" si="32"/>
        <v>-7485.8299180715476</v>
      </c>
    </row>
    <row r="110" spans="1:18" x14ac:dyDescent="0.2">
      <c r="A110" s="125">
        <v>7</v>
      </c>
      <c r="B110" s="194">
        <f t="shared" si="39"/>
        <v>44743</v>
      </c>
      <c r="C110" s="214">
        <f t="shared" si="36"/>
        <v>44776</v>
      </c>
      <c r="D110" s="214">
        <f t="shared" si="36"/>
        <v>44796</v>
      </c>
      <c r="E110" s="54" t="s">
        <v>19</v>
      </c>
      <c r="F110" s="159">
        <v>9</v>
      </c>
      <c r="G110" s="196">
        <v>58</v>
      </c>
      <c r="H110" s="197">
        <f t="shared" si="27"/>
        <v>1393.5515841383033</v>
      </c>
      <c r="I110" s="197">
        <f t="shared" si="38"/>
        <v>1266.7977110484107</v>
      </c>
      <c r="J110" s="198">
        <f t="shared" si="40"/>
        <v>73474.267240807822</v>
      </c>
      <c r="K110" s="205">
        <f t="shared" si="34"/>
        <v>80825.991880021596</v>
      </c>
      <c r="L110" s="204">
        <f t="shared" si="37"/>
        <v>-7351.7246392137749</v>
      </c>
      <c r="M110" s="201">
        <f t="shared" si="28"/>
        <v>-401.45634736034975</v>
      </c>
      <c r="N110" s="202">
        <f t="shared" si="29"/>
        <v>-7753.1809865741243</v>
      </c>
      <c r="O110" s="201">
        <f t="shared" si="30"/>
        <v>0</v>
      </c>
      <c r="P110" s="201">
        <f t="shared" si="31"/>
        <v>0</v>
      </c>
      <c r="Q110" s="201">
        <v>0</v>
      </c>
      <c r="R110" s="202">
        <f t="shared" si="32"/>
        <v>-7753.1809865741243</v>
      </c>
    </row>
    <row r="111" spans="1:18" x14ac:dyDescent="0.2">
      <c r="A111" s="159">
        <v>8</v>
      </c>
      <c r="B111" s="194">
        <f t="shared" si="39"/>
        <v>44774</v>
      </c>
      <c r="C111" s="214">
        <f t="shared" si="36"/>
        <v>44809</v>
      </c>
      <c r="D111" s="214">
        <f t="shared" si="36"/>
        <v>44827</v>
      </c>
      <c r="E111" s="54" t="s">
        <v>19</v>
      </c>
      <c r="F111" s="159">
        <v>9</v>
      </c>
      <c r="G111" s="196">
        <v>60</v>
      </c>
      <c r="H111" s="197">
        <f t="shared" si="27"/>
        <v>1393.5515841383033</v>
      </c>
      <c r="I111" s="197">
        <f t="shared" si="38"/>
        <v>1266.7977110484107</v>
      </c>
      <c r="J111" s="198">
        <f t="shared" si="40"/>
        <v>76007.862662904648</v>
      </c>
      <c r="K111" s="205">
        <f t="shared" si="34"/>
        <v>83613.095048298201</v>
      </c>
      <c r="L111" s="204">
        <f t="shared" si="37"/>
        <v>-7605.2323853935522</v>
      </c>
      <c r="M111" s="201">
        <f t="shared" si="28"/>
        <v>-415.29966968312038</v>
      </c>
      <c r="N111" s="202">
        <f t="shared" si="29"/>
        <v>-8020.5320550766728</v>
      </c>
      <c r="O111" s="201">
        <f t="shared" si="30"/>
        <v>0</v>
      </c>
      <c r="P111" s="201">
        <f t="shared" si="31"/>
        <v>0</v>
      </c>
      <c r="Q111" s="201">
        <v>0</v>
      </c>
      <c r="R111" s="202">
        <f t="shared" si="32"/>
        <v>-8020.5320550766728</v>
      </c>
    </row>
    <row r="112" spans="1:18" x14ac:dyDescent="0.2">
      <c r="A112" s="159">
        <v>9</v>
      </c>
      <c r="B112" s="194">
        <f t="shared" si="39"/>
        <v>44805</v>
      </c>
      <c r="C112" s="214">
        <f t="shared" si="36"/>
        <v>44839</v>
      </c>
      <c r="D112" s="214">
        <f t="shared" si="36"/>
        <v>44859</v>
      </c>
      <c r="E112" s="54" t="s">
        <v>19</v>
      </c>
      <c r="F112" s="159">
        <v>9</v>
      </c>
      <c r="G112" s="196">
        <v>58</v>
      </c>
      <c r="H112" s="197">
        <f t="shared" si="27"/>
        <v>1393.5515841383033</v>
      </c>
      <c r="I112" s="197">
        <f t="shared" si="38"/>
        <v>1266.7977110484107</v>
      </c>
      <c r="J112" s="198">
        <f t="shared" si="40"/>
        <v>73474.267240807822</v>
      </c>
      <c r="K112" s="205">
        <f t="shared" si="34"/>
        <v>80825.991880021596</v>
      </c>
      <c r="L112" s="204">
        <f t="shared" si="37"/>
        <v>-7351.7246392137749</v>
      </c>
      <c r="M112" s="201">
        <f t="shared" si="28"/>
        <v>-401.45634736034975</v>
      </c>
      <c r="N112" s="202">
        <f t="shared" si="29"/>
        <v>-7753.1809865741243</v>
      </c>
      <c r="O112" s="201">
        <f t="shared" si="30"/>
        <v>0</v>
      </c>
      <c r="P112" s="201">
        <f t="shared" si="31"/>
        <v>0</v>
      </c>
      <c r="Q112" s="201">
        <v>0</v>
      </c>
      <c r="R112" s="202">
        <f t="shared" si="32"/>
        <v>-7753.1809865741243</v>
      </c>
    </row>
    <row r="113" spans="1:18" x14ac:dyDescent="0.2">
      <c r="A113" s="125">
        <v>10</v>
      </c>
      <c r="B113" s="194">
        <f t="shared" si="39"/>
        <v>44835</v>
      </c>
      <c r="C113" s="214">
        <f t="shared" si="36"/>
        <v>44868</v>
      </c>
      <c r="D113" s="214">
        <f t="shared" si="36"/>
        <v>44888</v>
      </c>
      <c r="E113" s="54" t="s">
        <v>19</v>
      </c>
      <c r="F113" s="159">
        <v>9</v>
      </c>
      <c r="G113" s="196">
        <v>56</v>
      </c>
      <c r="H113" s="197">
        <f t="shared" si="27"/>
        <v>1393.5515841383033</v>
      </c>
      <c r="I113" s="197">
        <f t="shared" si="38"/>
        <v>1266.7977110484107</v>
      </c>
      <c r="J113" s="198">
        <f t="shared" si="40"/>
        <v>70940.671818711009</v>
      </c>
      <c r="K113" s="205">
        <f t="shared" si="34"/>
        <v>78038.888711744978</v>
      </c>
      <c r="L113" s="204">
        <f t="shared" si="37"/>
        <v>-7098.2168930339685</v>
      </c>
      <c r="M113" s="201">
        <f t="shared" si="28"/>
        <v>-387.61302503757906</v>
      </c>
      <c r="N113" s="202">
        <f t="shared" si="29"/>
        <v>-7485.8299180715476</v>
      </c>
      <c r="O113" s="201">
        <f t="shared" si="30"/>
        <v>0</v>
      </c>
      <c r="P113" s="201">
        <f t="shared" si="31"/>
        <v>0</v>
      </c>
      <c r="Q113" s="201">
        <v>0</v>
      </c>
      <c r="R113" s="202">
        <f t="shared" si="32"/>
        <v>-7485.8299180715476</v>
      </c>
    </row>
    <row r="114" spans="1:18" x14ac:dyDescent="0.2">
      <c r="A114" s="159">
        <v>11</v>
      </c>
      <c r="B114" s="194">
        <f t="shared" si="39"/>
        <v>44866</v>
      </c>
      <c r="C114" s="214">
        <f t="shared" si="36"/>
        <v>44900</v>
      </c>
      <c r="D114" s="214">
        <f t="shared" si="36"/>
        <v>44918</v>
      </c>
      <c r="E114" s="54" t="s">
        <v>19</v>
      </c>
      <c r="F114" s="159">
        <v>9</v>
      </c>
      <c r="G114" s="196">
        <v>59</v>
      </c>
      <c r="H114" s="197">
        <f t="shared" si="27"/>
        <v>1393.5515841383033</v>
      </c>
      <c r="I114" s="197">
        <f t="shared" si="38"/>
        <v>1266.7977110484107</v>
      </c>
      <c r="J114" s="198">
        <f t="shared" si="40"/>
        <v>74741.064951856228</v>
      </c>
      <c r="K114" s="205">
        <f t="shared" si="34"/>
        <v>82219.543464159899</v>
      </c>
      <c r="L114" s="204">
        <f t="shared" si="37"/>
        <v>-7478.4785123036709</v>
      </c>
      <c r="M114" s="201">
        <f t="shared" si="28"/>
        <v>-408.37800852173513</v>
      </c>
      <c r="N114" s="202">
        <f t="shared" si="29"/>
        <v>-7886.8565208254058</v>
      </c>
      <c r="O114" s="201">
        <f t="shared" si="30"/>
        <v>0</v>
      </c>
      <c r="P114" s="201">
        <f t="shared" si="31"/>
        <v>0</v>
      </c>
      <c r="Q114" s="201">
        <v>0</v>
      </c>
      <c r="R114" s="202">
        <f t="shared" si="32"/>
        <v>-7886.8565208254058</v>
      </c>
    </row>
    <row r="115" spans="1:18" s="218" customFormat="1" x14ac:dyDescent="0.2">
      <c r="A115" s="159">
        <v>12</v>
      </c>
      <c r="B115" s="216">
        <f t="shared" si="39"/>
        <v>44896</v>
      </c>
      <c r="C115" s="219">
        <f t="shared" si="36"/>
        <v>44930</v>
      </c>
      <c r="D115" s="219">
        <f t="shared" si="36"/>
        <v>44950</v>
      </c>
      <c r="E115" s="217" t="s">
        <v>19</v>
      </c>
      <c r="F115" s="170">
        <v>9</v>
      </c>
      <c r="G115" s="196">
        <v>58</v>
      </c>
      <c r="H115" s="206">
        <f t="shared" si="27"/>
        <v>1393.5515841383033</v>
      </c>
      <c r="I115" s="206">
        <f t="shared" si="38"/>
        <v>1266.7977110484107</v>
      </c>
      <c r="J115" s="207">
        <f t="shared" si="40"/>
        <v>73474.267240807822</v>
      </c>
      <c r="K115" s="208">
        <f t="shared" si="34"/>
        <v>80825.991880021596</v>
      </c>
      <c r="L115" s="209">
        <f t="shared" si="37"/>
        <v>-7351.7246392137749</v>
      </c>
      <c r="M115" s="201">
        <f t="shared" si="28"/>
        <v>-401.45634736034975</v>
      </c>
      <c r="N115" s="202">
        <f t="shared" si="29"/>
        <v>-7753.1809865741243</v>
      </c>
      <c r="O115" s="201">
        <f t="shared" si="30"/>
        <v>0</v>
      </c>
      <c r="P115" s="201">
        <f t="shared" si="31"/>
        <v>0</v>
      </c>
      <c r="Q115" s="201">
        <v>0</v>
      </c>
      <c r="R115" s="202">
        <f t="shared" si="32"/>
        <v>-7753.1809865741243</v>
      </c>
    </row>
    <row r="116" spans="1:18" x14ac:dyDescent="0.2">
      <c r="A116" s="125">
        <v>1</v>
      </c>
      <c r="B116" s="194">
        <f t="shared" si="39"/>
        <v>44562</v>
      </c>
      <c r="C116" s="214">
        <f t="shared" si="36"/>
        <v>44595</v>
      </c>
      <c r="D116" s="214">
        <f t="shared" si="36"/>
        <v>44615</v>
      </c>
      <c r="E116" s="195" t="s">
        <v>13</v>
      </c>
      <c r="F116" s="125">
        <v>9</v>
      </c>
      <c r="G116" s="196">
        <v>1045</v>
      </c>
      <c r="H116" s="197">
        <f t="shared" si="27"/>
        <v>1393.5515841383033</v>
      </c>
      <c r="I116" s="197">
        <f t="shared" si="38"/>
        <v>1266.7977110484107</v>
      </c>
      <c r="J116" s="198">
        <f t="shared" si="40"/>
        <v>1323803.6080455892</v>
      </c>
      <c r="K116" s="199">
        <f t="shared" si="34"/>
        <v>1456261.4054245269</v>
      </c>
      <c r="L116" s="200">
        <f>+J116-K116</f>
        <v>-132457.79737893771</v>
      </c>
      <c r="M116" s="201">
        <f t="shared" si="28"/>
        <v>-7233.1359136476813</v>
      </c>
      <c r="N116" s="202">
        <f t="shared" si="29"/>
        <v>-139690.9332925854</v>
      </c>
      <c r="O116" s="201">
        <f t="shared" si="30"/>
        <v>0</v>
      </c>
      <c r="P116" s="201">
        <f t="shared" si="31"/>
        <v>0</v>
      </c>
      <c r="Q116" s="201">
        <v>0</v>
      </c>
      <c r="R116" s="202">
        <f t="shared" si="32"/>
        <v>-139690.9332925854</v>
      </c>
    </row>
    <row r="117" spans="1:18" x14ac:dyDescent="0.2">
      <c r="A117" s="159">
        <v>2</v>
      </c>
      <c r="B117" s="194">
        <f t="shared" si="39"/>
        <v>44593</v>
      </c>
      <c r="C117" s="214">
        <f t="shared" ref="C117:D139" si="41">+C105</f>
        <v>44623</v>
      </c>
      <c r="D117" s="214">
        <f t="shared" si="41"/>
        <v>44642</v>
      </c>
      <c r="E117" s="203" t="s">
        <v>13</v>
      </c>
      <c r="F117" s="159">
        <v>9</v>
      </c>
      <c r="G117" s="196">
        <v>1114</v>
      </c>
      <c r="H117" s="197">
        <f t="shared" si="27"/>
        <v>1393.5515841383033</v>
      </c>
      <c r="I117" s="197">
        <f t="shared" si="38"/>
        <v>1266.7977110484107</v>
      </c>
      <c r="J117" s="198">
        <f t="shared" si="40"/>
        <v>1411212.6501079295</v>
      </c>
      <c r="K117" s="199">
        <f t="shared" si="34"/>
        <v>1552416.4647300697</v>
      </c>
      <c r="L117" s="200">
        <f>+J117-K117</f>
        <v>-141203.81462214026</v>
      </c>
      <c r="M117" s="201">
        <f t="shared" si="28"/>
        <v>-7710.7305337832695</v>
      </c>
      <c r="N117" s="202">
        <f t="shared" si="29"/>
        <v>-148914.54515592352</v>
      </c>
      <c r="O117" s="201">
        <f t="shared" si="30"/>
        <v>0</v>
      </c>
      <c r="P117" s="201">
        <f t="shared" si="31"/>
        <v>0</v>
      </c>
      <c r="Q117" s="201">
        <v>0</v>
      </c>
      <c r="R117" s="202">
        <f t="shared" si="32"/>
        <v>-148914.54515592352</v>
      </c>
    </row>
    <row r="118" spans="1:18" x14ac:dyDescent="0.2">
      <c r="A118" s="159">
        <v>3</v>
      </c>
      <c r="B118" s="194">
        <f t="shared" si="39"/>
        <v>44621</v>
      </c>
      <c r="C118" s="214">
        <f t="shared" si="41"/>
        <v>44656</v>
      </c>
      <c r="D118" s="214">
        <f t="shared" si="41"/>
        <v>44676</v>
      </c>
      <c r="E118" s="203" t="s">
        <v>13</v>
      </c>
      <c r="F118" s="159">
        <v>9</v>
      </c>
      <c r="G118" s="196">
        <v>977</v>
      </c>
      <c r="H118" s="197">
        <f t="shared" si="27"/>
        <v>1393.5515841383033</v>
      </c>
      <c r="I118" s="197">
        <f t="shared" si="38"/>
        <v>1266.7977110484107</v>
      </c>
      <c r="J118" s="198">
        <f t="shared" si="40"/>
        <v>1237661.3636942974</v>
      </c>
      <c r="K118" s="199">
        <f t="shared" si="34"/>
        <v>1361499.8977031223</v>
      </c>
      <c r="L118" s="200">
        <f>+J118-K118</f>
        <v>-123838.53400882496</v>
      </c>
      <c r="M118" s="201">
        <f t="shared" si="28"/>
        <v>-6762.4629546734777</v>
      </c>
      <c r="N118" s="202">
        <f t="shared" si="29"/>
        <v>-130600.99696349844</v>
      </c>
      <c r="O118" s="201">
        <f t="shared" si="30"/>
        <v>0</v>
      </c>
      <c r="P118" s="201">
        <f t="shared" si="31"/>
        <v>0</v>
      </c>
      <c r="Q118" s="201">
        <v>0</v>
      </c>
      <c r="R118" s="202">
        <f t="shared" si="32"/>
        <v>-130600.99696349844</v>
      </c>
    </row>
    <row r="119" spans="1:18" x14ac:dyDescent="0.2">
      <c r="A119" s="125">
        <v>4</v>
      </c>
      <c r="B119" s="194">
        <f t="shared" si="39"/>
        <v>44652</v>
      </c>
      <c r="C119" s="214">
        <f t="shared" si="41"/>
        <v>44685</v>
      </c>
      <c r="D119" s="214">
        <f t="shared" si="41"/>
        <v>44705</v>
      </c>
      <c r="E119" s="54" t="s">
        <v>13</v>
      </c>
      <c r="F119" s="159">
        <v>9</v>
      </c>
      <c r="G119" s="196">
        <v>539</v>
      </c>
      <c r="H119" s="197">
        <f t="shared" si="27"/>
        <v>1393.5515841383033</v>
      </c>
      <c r="I119" s="197">
        <f t="shared" si="38"/>
        <v>1266.7977110484107</v>
      </c>
      <c r="J119" s="198">
        <f t="shared" si="40"/>
        <v>682803.96625509334</v>
      </c>
      <c r="K119" s="199">
        <f t="shared" si="34"/>
        <v>751124.30385054543</v>
      </c>
      <c r="L119" s="200">
        <f t="shared" ref="L119:L127" si="42">+J119-K119</f>
        <v>-68320.337595452089</v>
      </c>
      <c r="M119" s="201">
        <f t="shared" si="28"/>
        <v>-3730.7753659866985</v>
      </c>
      <c r="N119" s="202">
        <f t="shared" si="29"/>
        <v>-72051.11296143879</v>
      </c>
      <c r="O119" s="201">
        <f t="shared" si="30"/>
        <v>0</v>
      </c>
      <c r="P119" s="201">
        <f t="shared" si="31"/>
        <v>0</v>
      </c>
      <c r="Q119" s="201">
        <v>0</v>
      </c>
      <c r="R119" s="202">
        <f t="shared" si="32"/>
        <v>-72051.11296143879</v>
      </c>
    </row>
    <row r="120" spans="1:18" x14ac:dyDescent="0.2">
      <c r="A120" s="159">
        <v>5</v>
      </c>
      <c r="B120" s="194">
        <f t="shared" si="39"/>
        <v>44682</v>
      </c>
      <c r="C120" s="214">
        <f t="shared" si="41"/>
        <v>44715</v>
      </c>
      <c r="D120" s="214">
        <f t="shared" si="41"/>
        <v>44735</v>
      </c>
      <c r="E120" s="54" t="s">
        <v>13</v>
      </c>
      <c r="F120" s="159">
        <v>9</v>
      </c>
      <c r="G120" s="196">
        <v>754</v>
      </c>
      <c r="H120" s="197">
        <f t="shared" si="27"/>
        <v>1393.5515841383033</v>
      </c>
      <c r="I120" s="197">
        <f t="shared" si="38"/>
        <v>1266.7977110484107</v>
      </c>
      <c r="J120" s="198">
        <f t="shared" si="40"/>
        <v>955165.47413050174</v>
      </c>
      <c r="K120" s="199">
        <f t="shared" si="34"/>
        <v>1050737.8944402807</v>
      </c>
      <c r="L120" s="200">
        <f t="shared" si="42"/>
        <v>-95572.420309779001</v>
      </c>
      <c r="M120" s="201">
        <f t="shared" si="28"/>
        <v>-5218.9325156845471</v>
      </c>
      <c r="N120" s="202">
        <f t="shared" si="29"/>
        <v>-100791.35282546355</v>
      </c>
      <c r="O120" s="201">
        <f t="shared" si="30"/>
        <v>0</v>
      </c>
      <c r="P120" s="201">
        <f t="shared" si="31"/>
        <v>0</v>
      </c>
      <c r="Q120" s="201">
        <v>0</v>
      </c>
      <c r="R120" s="202">
        <f t="shared" si="32"/>
        <v>-100791.35282546355</v>
      </c>
    </row>
    <row r="121" spans="1:18" x14ac:dyDescent="0.2">
      <c r="A121" s="159">
        <v>6</v>
      </c>
      <c r="B121" s="194">
        <f t="shared" si="39"/>
        <v>44713</v>
      </c>
      <c r="C121" s="214">
        <f t="shared" si="41"/>
        <v>44747</v>
      </c>
      <c r="D121" s="214">
        <f t="shared" si="41"/>
        <v>44767</v>
      </c>
      <c r="E121" s="54" t="s">
        <v>13</v>
      </c>
      <c r="F121" s="159">
        <v>9</v>
      </c>
      <c r="G121" s="196">
        <v>946</v>
      </c>
      <c r="H121" s="197">
        <f t="shared" si="27"/>
        <v>1393.5515841383033</v>
      </c>
      <c r="I121" s="197">
        <f t="shared" si="38"/>
        <v>1266.7977110484107</v>
      </c>
      <c r="J121" s="198">
        <f t="shared" si="40"/>
        <v>1198390.6346517967</v>
      </c>
      <c r="K121" s="199">
        <f t="shared" si="34"/>
        <v>1318299.798594835</v>
      </c>
      <c r="L121" s="204">
        <f t="shared" si="42"/>
        <v>-119909.16394303832</v>
      </c>
      <c r="M121" s="201">
        <f t="shared" si="28"/>
        <v>-6547.8914586705323</v>
      </c>
      <c r="N121" s="202">
        <f t="shared" si="29"/>
        <v>-126457.05540170886</v>
      </c>
      <c r="O121" s="201">
        <f t="shared" si="30"/>
        <v>0</v>
      </c>
      <c r="P121" s="201">
        <f t="shared" si="31"/>
        <v>0</v>
      </c>
      <c r="Q121" s="201">
        <v>0</v>
      </c>
      <c r="R121" s="202">
        <f t="shared" si="32"/>
        <v>-126457.05540170886</v>
      </c>
    </row>
    <row r="122" spans="1:18" x14ac:dyDescent="0.2">
      <c r="A122" s="125">
        <v>7</v>
      </c>
      <c r="B122" s="194">
        <f t="shared" si="39"/>
        <v>44743</v>
      </c>
      <c r="C122" s="214">
        <f t="shared" si="41"/>
        <v>44776</v>
      </c>
      <c r="D122" s="214">
        <f t="shared" si="41"/>
        <v>44796</v>
      </c>
      <c r="E122" s="54" t="s">
        <v>13</v>
      </c>
      <c r="F122" s="159">
        <v>9</v>
      </c>
      <c r="G122" s="196">
        <v>979</v>
      </c>
      <c r="H122" s="197">
        <f t="shared" si="27"/>
        <v>1393.5515841383033</v>
      </c>
      <c r="I122" s="197">
        <f t="shared" si="38"/>
        <v>1266.7977110484107</v>
      </c>
      <c r="J122" s="198">
        <f t="shared" si="40"/>
        <v>1240194.9591163942</v>
      </c>
      <c r="K122" s="205">
        <f t="shared" si="34"/>
        <v>1364287.000871399</v>
      </c>
      <c r="L122" s="204">
        <f t="shared" si="42"/>
        <v>-124092.04175500479</v>
      </c>
      <c r="M122" s="201">
        <f t="shared" si="28"/>
        <v>-6776.306276996248</v>
      </c>
      <c r="N122" s="202">
        <f t="shared" si="29"/>
        <v>-130868.34803200103</v>
      </c>
      <c r="O122" s="201">
        <f t="shared" si="30"/>
        <v>0</v>
      </c>
      <c r="P122" s="201">
        <f t="shared" si="31"/>
        <v>0</v>
      </c>
      <c r="Q122" s="201">
        <v>0</v>
      </c>
      <c r="R122" s="202">
        <f t="shared" si="32"/>
        <v>-130868.34803200103</v>
      </c>
    </row>
    <row r="123" spans="1:18" x14ac:dyDescent="0.2">
      <c r="A123" s="159">
        <v>8</v>
      </c>
      <c r="B123" s="194">
        <f t="shared" si="39"/>
        <v>44774</v>
      </c>
      <c r="C123" s="214">
        <f t="shared" si="41"/>
        <v>44809</v>
      </c>
      <c r="D123" s="214">
        <f t="shared" si="41"/>
        <v>44827</v>
      </c>
      <c r="E123" s="54" t="s">
        <v>13</v>
      </c>
      <c r="F123" s="159">
        <v>9</v>
      </c>
      <c r="G123" s="196">
        <v>973</v>
      </c>
      <c r="H123" s="197">
        <f t="shared" si="27"/>
        <v>1393.5515841383033</v>
      </c>
      <c r="I123" s="197">
        <f t="shared" si="38"/>
        <v>1266.7977110484107</v>
      </c>
      <c r="J123" s="198">
        <f t="shared" si="40"/>
        <v>1232594.1728501036</v>
      </c>
      <c r="K123" s="205">
        <f t="shared" si="34"/>
        <v>1355925.6913665691</v>
      </c>
      <c r="L123" s="204">
        <f t="shared" si="42"/>
        <v>-123331.51851646556</v>
      </c>
      <c r="M123" s="201">
        <f t="shared" si="28"/>
        <v>-6734.7763100279362</v>
      </c>
      <c r="N123" s="202">
        <f t="shared" si="29"/>
        <v>-130066.2948264935</v>
      </c>
      <c r="O123" s="201">
        <f t="shared" si="30"/>
        <v>0</v>
      </c>
      <c r="P123" s="201">
        <f t="shared" si="31"/>
        <v>0</v>
      </c>
      <c r="Q123" s="201">
        <v>0</v>
      </c>
      <c r="R123" s="202">
        <f t="shared" si="32"/>
        <v>-130066.2948264935</v>
      </c>
    </row>
    <row r="124" spans="1:18" x14ac:dyDescent="0.2">
      <c r="A124" s="159">
        <v>9</v>
      </c>
      <c r="B124" s="194">
        <f t="shared" si="39"/>
        <v>44805</v>
      </c>
      <c r="C124" s="214">
        <f t="shared" si="41"/>
        <v>44839</v>
      </c>
      <c r="D124" s="214">
        <f t="shared" si="41"/>
        <v>44859</v>
      </c>
      <c r="E124" s="54" t="s">
        <v>13</v>
      </c>
      <c r="F124" s="159">
        <v>9</v>
      </c>
      <c r="G124" s="196">
        <v>847</v>
      </c>
      <c r="H124" s="197">
        <f t="shared" si="27"/>
        <v>1393.5515841383033</v>
      </c>
      <c r="I124" s="197">
        <f t="shared" si="38"/>
        <v>1266.7977110484107</v>
      </c>
      <c r="J124" s="198">
        <f t="shared" si="40"/>
        <v>1072977.6612580039</v>
      </c>
      <c r="K124" s="205">
        <f t="shared" si="34"/>
        <v>1180338.1917651428</v>
      </c>
      <c r="L124" s="204">
        <f t="shared" si="42"/>
        <v>-107360.53050713893</v>
      </c>
      <c r="M124" s="201">
        <f t="shared" si="28"/>
        <v>-5862.6470036933833</v>
      </c>
      <c r="N124" s="202">
        <f t="shared" si="29"/>
        <v>-113223.17751083232</v>
      </c>
      <c r="O124" s="201">
        <f t="shared" si="30"/>
        <v>0</v>
      </c>
      <c r="P124" s="201">
        <f t="shared" si="31"/>
        <v>0</v>
      </c>
      <c r="Q124" s="201">
        <v>0</v>
      </c>
      <c r="R124" s="202">
        <f t="shared" si="32"/>
        <v>-113223.17751083232</v>
      </c>
    </row>
    <row r="125" spans="1:18" x14ac:dyDescent="0.2">
      <c r="A125" s="125">
        <v>10</v>
      </c>
      <c r="B125" s="194">
        <f t="shared" si="39"/>
        <v>44835</v>
      </c>
      <c r="C125" s="214">
        <f t="shared" si="41"/>
        <v>44868</v>
      </c>
      <c r="D125" s="214">
        <f t="shared" si="41"/>
        <v>44888</v>
      </c>
      <c r="E125" s="54" t="s">
        <v>13</v>
      </c>
      <c r="F125" s="159">
        <v>9</v>
      </c>
      <c r="G125" s="196">
        <v>609</v>
      </c>
      <c r="H125" s="197">
        <f t="shared" si="27"/>
        <v>1393.5515841383033</v>
      </c>
      <c r="I125" s="197">
        <f t="shared" si="38"/>
        <v>1266.7977110484107</v>
      </c>
      <c r="J125" s="198">
        <f t="shared" si="40"/>
        <v>771479.80602848215</v>
      </c>
      <c r="K125" s="205">
        <f t="shared" si="34"/>
        <v>848672.9147402267</v>
      </c>
      <c r="L125" s="204">
        <f t="shared" si="42"/>
        <v>-77193.108711744542</v>
      </c>
      <c r="M125" s="201">
        <f t="shared" si="28"/>
        <v>-4215.2916472836723</v>
      </c>
      <c r="N125" s="202">
        <f t="shared" si="29"/>
        <v>-81408.400359028208</v>
      </c>
      <c r="O125" s="201">
        <f t="shared" si="30"/>
        <v>0</v>
      </c>
      <c r="P125" s="201">
        <f t="shared" si="31"/>
        <v>0</v>
      </c>
      <c r="Q125" s="201">
        <v>0</v>
      </c>
      <c r="R125" s="202">
        <f t="shared" si="32"/>
        <v>-81408.400359028208</v>
      </c>
    </row>
    <row r="126" spans="1:18" x14ac:dyDescent="0.2">
      <c r="A126" s="159">
        <v>11</v>
      </c>
      <c r="B126" s="194">
        <f t="shared" si="39"/>
        <v>44866</v>
      </c>
      <c r="C126" s="214">
        <f t="shared" si="41"/>
        <v>44900</v>
      </c>
      <c r="D126" s="214">
        <f t="shared" si="41"/>
        <v>44918</v>
      </c>
      <c r="E126" s="54" t="s">
        <v>13</v>
      </c>
      <c r="F126" s="159">
        <v>9</v>
      </c>
      <c r="G126" s="196">
        <v>807</v>
      </c>
      <c r="H126" s="197">
        <f t="shared" si="27"/>
        <v>1393.5515841383033</v>
      </c>
      <c r="I126" s="197">
        <f t="shared" si="38"/>
        <v>1266.7977110484107</v>
      </c>
      <c r="J126" s="198">
        <f t="shared" si="40"/>
        <v>1022305.7528160674</v>
      </c>
      <c r="K126" s="205">
        <f t="shared" si="34"/>
        <v>1124596.1283996108</v>
      </c>
      <c r="L126" s="204">
        <f t="shared" si="42"/>
        <v>-102290.37558354333</v>
      </c>
      <c r="M126" s="201">
        <f t="shared" si="28"/>
        <v>-5585.7805572379702</v>
      </c>
      <c r="N126" s="202">
        <f t="shared" si="29"/>
        <v>-107876.1561407813</v>
      </c>
      <c r="O126" s="201">
        <f t="shared" si="30"/>
        <v>0</v>
      </c>
      <c r="P126" s="201">
        <f t="shared" si="31"/>
        <v>0</v>
      </c>
      <c r="Q126" s="201">
        <v>0</v>
      </c>
      <c r="R126" s="202">
        <f t="shared" si="32"/>
        <v>-107876.1561407813</v>
      </c>
    </row>
    <row r="127" spans="1:18" s="218" customFormat="1" x14ac:dyDescent="0.2">
      <c r="A127" s="159">
        <v>12</v>
      </c>
      <c r="B127" s="216">
        <f t="shared" si="39"/>
        <v>44896</v>
      </c>
      <c r="C127" s="219">
        <f t="shared" si="41"/>
        <v>44930</v>
      </c>
      <c r="D127" s="219">
        <f t="shared" si="41"/>
        <v>44950</v>
      </c>
      <c r="E127" s="217" t="s">
        <v>13</v>
      </c>
      <c r="F127" s="170">
        <v>9</v>
      </c>
      <c r="G127" s="196">
        <v>1434</v>
      </c>
      <c r="H127" s="206">
        <f t="shared" si="27"/>
        <v>1393.5515841383033</v>
      </c>
      <c r="I127" s="206">
        <f t="shared" si="38"/>
        <v>1266.7977110484107</v>
      </c>
      <c r="J127" s="207">
        <f t="shared" si="40"/>
        <v>1816587.9176434211</v>
      </c>
      <c r="K127" s="208">
        <f t="shared" si="34"/>
        <v>1998352.9716543269</v>
      </c>
      <c r="L127" s="209">
        <f t="shared" si="42"/>
        <v>-181765.05401090579</v>
      </c>
      <c r="M127" s="201">
        <f t="shared" si="28"/>
        <v>-9925.6621054265779</v>
      </c>
      <c r="N127" s="202">
        <f t="shared" si="29"/>
        <v>-191690.71611633236</v>
      </c>
      <c r="O127" s="201">
        <f t="shared" si="30"/>
        <v>0</v>
      </c>
      <c r="P127" s="201">
        <f t="shared" si="31"/>
        <v>0</v>
      </c>
      <c r="Q127" s="201">
        <v>0</v>
      </c>
      <c r="R127" s="202">
        <f t="shared" si="32"/>
        <v>-191690.71611633236</v>
      </c>
    </row>
    <row r="128" spans="1:18" x14ac:dyDescent="0.2">
      <c r="A128" s="125">
        <v>1</v>
      </c>
      <c r="B128" s="194">
        <f t="shared" si="39"/>
        <v>44562</v>
      </c>
      <c r="C128" s="214">
        <f t="shared" si="41"/>
        <v>44595</v>
      </c>
      <c r="D128" s="214">
        <f t="shared" si="41"/>
        <v>44615</v>
      </c>
      <c r="E128" s="195" t="s">
        <v>15</v>
      </c>
      <c r="F128" s="125">
        <v>9</v>
      </c>
      <c r="G128" s="196">
        <v>8</v>
      </c>
      <c r="H128" s="197">
        <f t="shared" si="27"/>
        <v>1393.5515841383033</v>
      </c>
      <c r="I128" s="197">
        <f t="shared" ref="I128:I147" si="43">$J$3</f>
        <v>1266.7977110484107</v>
      </c>
      <c r="J128" s="198">
        <f t="shared" si="40"/>
        <v>10134.381688387286</v>
      </c>
      <c r="K128" s="199">
        <f t="shared" si="34"/>
        <v>11148.412673106426</v>
      </c>
      <c r="L128" s="200">
        <f>+J128-K128</f>
        <v>-1014.0309847191402</v>
      </c>
      <c r="M128" s="201">
        <f t="shared" si="28"/>
        <v>-55.373289291082727</v>
      </c>
      <c r="N128" s="202">
        <f t="shared" si="29"/>
        <v>-1069.4042740102229</v>
      </c>
      <c r="O128" s="201">
        <f t="shared" si="30"/>
        <v>0</v>
      </c>
      <c r="P128" s="201">
        <f t="shared" si="31"/>
        <v>0</v>
      </c>
      <c r="Q128" s="201">
        <v>0</v>
      </c>
      <c r="R128" s="202">
        <f t="shared" si="32"/>
        <v>-1069.4042740102229</v>
      </c>
    </row>
    <row r="129" spans="1:18" x14ac:dyDescent="0.2">
      <c r="A129" s="159">
        <v>2</v>
      </c>
      <c r="B129" s="194">
        <f t="shared" si="39"/>
        <v>44593</v>
      </c>
      <c r="C129" s="214">
        <f t="shared" si="41"/>
        <v>44623</v>
      </c>
      <c r="D129" s="214">
        <f t="shared" si="41"/>
        <v>44642</v>
      </c>
      <c r="E129" s="203" t="s">
        <v>15</v>
      </c>
      <c r="F129" s="159">
        <v>9</v>
      </c>
      <c r="G129" s="196">
        <v>7</v>
      </c>
      <c r="H129" s="197">
        <f t="shared" si="27"/>
        <v>1393.5515841383033</v>
      </c>
      <c r="I129" s="197">
        <f t="shared" si="43"/>
        <v>1266.7977110484107</v>
      </c>
      <c r="J129" s="198">
        <f t="shared" si="40"/>
        <v>8867.5839773388761</v>
      </c>
      <c r="K129" s="199">
        <f t="shared" si="34"/>
        <v>9754.8610889681222</v>
      </c>
      <c r="L129" s="200">
        <f>+J129-K129</f>
        <v>-887.27711162924606</v>
      </c>
      <c r="M129" s="201">
        <f t="shared" si="28"/>
        <v>-48.451628129697383</v>
      </c>
      <c r="N129" s="202">
        <f t="shared" si="29"/>
        <v>-935.72873975894345</v>
      </c>
      <c r="O129" s="201">
        <f t="shared" si="30"/>
        <v>0</v>
      </c>
      <c r="P129" s="201">
        <f t="shared" si="31"/>
        <v>0</v>
      </c>
      <c r="Q129" s="201">
        <v>0</v>
      </c>
      <c r="R129" s="202">
        <f t="shared" si="32"/>
        <v>-935.72873975894345</v>
      </c>
    </row>
    <row r="130" spans="1:18" x14ac:dyDescent="0.2">
      <c r="A130" s="159">
        <v>3</v>
      </c>
      <c r="B130" s="194">
        <f t="shared" si="39"/>
        <v>44621</v>
      </c>
      <c r="C130" s="214">
        <f t="shared" si="41"/>
        <v>44656</v>
      </c>
      <c r="D130" s="214">
        <f t="shared" si="41"/>
        <v>44676</v>
      </c>
      <c r="E130" s="203" t="s">
        <v>15</v>
      </c>
      <c r="F130" s="159">
        <v>9</v>
      </c>
      <c r="G130" s="196">
        <v>5</v>
      </c>
      <c r="H130" s="197">
        <f t="shared" si="27"/>
        <v>1393.5515841383033</v>
      </c>
      <c r="I130" s="197">
        <f t="shared" si="43"/>
        <v>1266.7977110484107</v>
      </c>
      <c r="J130" s="198">
        <f t="shared" si="40"/>
        <v>6333.9885552420537</v>
      </c>
      <c r="K130" s="199">
        <f t="shared" si="34"/>
        <v>6967.7579206915161</v>
      </c>
      <c r="L130" s="200">
        <f>+J130-K130</f>
        <v>-633.76936544946238</v>
      </c>
      <c r="M130" s="201">
        <f t="shared" si="28"/>
        <v>-34.608305806926701</v>
      </c>
      <c r="N130" s="202">
        <f t="shared" si="29"/>
        <v>-668.37767125638914</v>
      </c>
      <c r="O130" s="201">
        <f t="shared" si="30"/>
        <v>0</v>
      </c>
      <c r="P130" s="201">
        <f t="shared" si="31"/>
        <v>0</v>
      </c>
      <c r="Q130" s="201">
        <v>0</v>
      </c>
      <c r="R130" s="202">
        <f t="shared" si="32"/>
        <v>-668.37767125638914</v>
      </c>
    </row>
    <row r="131" spans="1:18" x14ac:dyDescent="0.2">
      <c r="A131" s="125">
        <v>4</v>
      </c>
      <c r="B131" s="194">
        <f t="shared" si="39"/>
        <v>44652</v>
      </c>
      <c r="C131" s="214">
        <f t="shared" si="41"/>
        <v>44685</v>
      </c>
      <c r="D131" s="214">
        <f t="shared" si="41"/>
        <v>44705</v>
      </c>
      <c r="E131" s="203" t="s">
        <v>15</v>
      </c>
      <c r="F131" s="159">
        <v>9</v>
      </c>
      <c r="G131" s="196">
        <v>7</v>
      </c>
      <c r="H131" s="197">
        <f t="shared" si="27"/>
        <v>1393.5515841383033</v>
      </c>
      <c r="I131" s="197">
        <f t="shared" si="43"/>
        <v>1266.7977110484107</v>
      </c>
      <c r="J131" s="198">
        <f t="shared" si="40"/>
        <v>8867.5839773388761</v>
      </c>
      <c r="K131" s="199">
        <f t="shared" si="34"/>
        <v>9754.8610889681222</v>
      </c>
      <c r="L131" s="200">
        <f t="shared" ref="L131:L141" si="44">+J131-K131</f>
        <v>-887.27711162924606</v>
      </c>
      <c r="M131" s="201">
        <f t="shared" si="28"/>
        <v>-48.451628129697383</v>
      </c>
      <c r="N131" s="202">
        <f t="shared" si="29"/>
        <v>-935.72873975894345</v>
      </c>
      <c r="O131" s="201">
        <f t="shared" si="30"/>
        <v>0</v>
      </c>
      <c r="P131" s="201">
        <f t="shared" si="31"/>
        <v>0</v>
      </c>
      <c r="Q131" s="201">
        <v>0</v>
      </c>
      <c r="R131" s="202">
        <f t="shared" si="32"/>
        <v>-935.72873975894345</v>
      </c>
    </row>
    <row r="132" spans="1:18" x14ac:dyDescent="0.2">
      <c r="A132" s="159">
        <v>5</v>
      </c>
      <c r="B132" s="194">
        <f t="shared" si="39"/>
        <v>44682</v>
      </c>
      <c r="C132" s="214">
        <f t="shared" si="41"/>
        <v>44715</v>
      </c>
      <c r="D132" s="214">
        <f t="shared" si="41"/>
        <v>44735</v>
      </c>
      <c r="E132" s="54" t="s">
        <v>15</v>
      </c>
      <c r="F132" s="159">
        <v>9</v>
      </c>
      <c r="G132" s="196">
        <v>10</v>
      </c>
      <c r="H132" s="197">
        <f t="shared" si="27"/>
        <v>1393.5515841383033</v>
      </c>
      <c r="I132" s="197">
        <f t="shared" si="43"/>
        <v>1266.7977110484107</v>
      </c>
      <c r="J132" s="198">
        <f t="shared" si="40"/>
        <v>12667.977110484107</v>
      </c>
      <c r="K132" s="199">
        <f t="shared" si="34"/>
        <v>13935.515841383032</v>
      </c>
      <c r="L132" s="200">
        <f t="shared" si="44"/>
        <v>-1267.5387308989248</v>
      </c>
      <c r="M132" s="201">
        <f t="shared" si="28"/>
        <v>-69.216611613853402</v>
      </c>
      <c r="N132" s="202">
        <f t="shared" si="29"/>
        <v>-1336.7553425127783</v>
      </c>
      <c r="O132" s="201">
        <f t="shared" si="30"/>
        <v>0</v>
      </c>
      <c r="P132" s="201">
        <f t="shared" si="31"/>
        <v>0</v>
      </c>
      <c r="Q132" s="201">
        <v>0</v>
      </c>
      <c r="R132" s="202">
        <f t="shared" si="32"/>
        <v>-1336.7553425127783</v>
      </c>
    </row>
    <row r="133" spans="1:18" x14ac:dyDescent="0.2">
      <c r="A133" s="159">
        <v>6</v>
      </c>
      <c r="B133" s="194">
        <f t="shared" si="39"/>
        <v>44713</v>
      </c>
      <c r="C133" s="214">
        <f t="shared" si="41"/>
        <v>44747</v>
      </c>
      <c r="D133" s="214">
        <f t="shared" si="41"/>
        <v>44767</v>
      </c>
      <c r="E133" s="54" t="s">
        <v>15</v>
      </c>
      <c r="F133" s="159">
        <v>9</v>
      </c>
      <c r="G133" s="196">
        <v>14</v>
      </c>
      <c r="H133" s="197">
        <f t="shared" si="27"/>
        <v>1393.5515841383033</v>
      </c>
      <c r="I133" s="197">
        <f t="shared" si="43"/>
        <v>1266.7977110484107</v>
      </c>
      <c r="J133" s="198">
        <f t="shared" si="40"/>
        <v>17735.167954677752</v>
      </c>
      <c r="K133" s="199">
        <f t="shared" si="34"/>
        <v>19509.722177936244</v>
      </c>
      <c r="L133" s="204">
        <f t="shared" si="44"/>
        <v>-1774.5542232584921</v>
      </c>
      <c r="M133" s="201">
        <f t="shared" si="28"/>
        <v>-96.903256259394766</v>
      </c>
      <c r="N133" s="202">
        <f t="shared" si="29"/>
        <v>-1871.4574795178869</v>
      </c>
      <c r="O133" s="201">
        <f t="shared" si="30"/>
        <v>0</v>
      </c>
      <c r="P133" s="201">
        <f t="shared" si="31"/>
        <v>0</v>
      </c>
      <c r="Q133" s="201">
        <v>0</v>
      </c>
      <c r="R133" s="202">
        <f t="shared" si="32"/>
        <v>-1871.4574795178869</v>
      </c>
    </row>
    <row r="134" spans="1:18" x14ac:dyDescent="0.2">
      <c r="A134" s="125">
        <v>7</v>
      </c>
      <c r="B134" s="194">
        <f t="shared" si="39"/>
        <v>44743</v>
      </c>
      <c r="C134" s="214">
        <f t="shared" si="41"/>
        <v>44776</v>
      </c>
      <c r="D134" s="214">
        <f t="shared" si="41"/>
        <v>44796</v>
      </c>
      <c r="E134" s="54" t="s">
        <v>15</v>
      </c>
      <c r="F134" s="159">
        <v>9</v>
      </c>
      <c r="G134" s="196">
        <v>18</v>
      </c>
      <c r="H134" s="197">
        <f t="shared" si="27"/>
        <v>1393.5515841383033</v>
      </c>
      <c r="I134" s="197">
        <f t="shared" si="43"/>
        <v>1266.7977110484107</v>
      </c>
      <c r="J134" s="198">
        <f t="shared" si="40"/>
        <v>22802.358798871392</v>
      </c>
      <c r="K134" s="205">
        <f t="shared" ref="K134:K197" si="45">+$G134*H134</f>
        <v>25083.92851448946</v>
      </c>
      <c r="L134" s="204">
        <f t="shared" si="44"/>
        <v>-2281.5697156180686</v>
      </c>
      <c r="M134" s="201">
        <f t="shared" si="28"/>
        <v>-124.58990090493614</v>
      </c>
      <c r="N134" s="202">
        <f t="shared" si="29"/>
        <v>-2406.1596165230048</v>
      </c>
      <c r="O134" s="201">
        <f t="shared" si="30"/>
        <v>0</v>
      </c>
      <c r="P134" s="201">
        <f t="shared" si="31"/>
        <v>0</v>
      </c>
      <c r="Q134" s="201">
        <v>0</v>
      </c>
      <c r="R134" s="202">
        <f t="shared" si="32"/>
        <v>-2406.1596165230048</v>
      </c>
    </row>
    <row r="135" spans="1:18" x14ac:dyDescent="0.2">
      <c r="A135" s="159">
        <v>8</v>
      </c>
      <c r="B135" s="194">
        <f t="shared" si="39"/>
        <v>44774</v>
      </c>
      <c r="C135" s="214">
        <f t="shared" si="41"/>
        <v>44809</v>
      </c>
      <c r="D135" s="214">
        <f t="shared" si="41"/>
        <v>44827</v>
      </c>
      <c r="E135" s="54" t="s">
        <v>15</v>
      </c>
      <c r="F135" s="159">
        <v>9</v>
      </c>
      <c r="G135" s="196">
        <v>16</v>
      </c>
      <c r="H135" s="197">
        <f t="shared" si="27"/>
        <v>1393.5515841383033</v>
      </c>
      <c r="I135" s="197">
        <f t="shared" si="43"/>
        <v>1266.7977110484107</v>
      </c>
      <c r="J135" s="198">
        <f t="shared" si="40"/>
        <v>20268.763376774572</v>
      </c>
      <c r="K135" s="205">
        <f t="shared" si="45"/>
        <v>22296.825346212852</v>
      </c>
      <c r="L135" s="204">
        <f t="shared" si="44"/>
        <v>-2028.0619694382804</v>
      </c>
      <c r="M135" s="201">
        <f t="shared" si="28"/>
        <v>-110.74657858216545</v>
      </c>
      <c r="N135" s="202">
        <f t="shared" si="29"/>
        <v>-2138.8085480204459</v>
      </c>
      <c r="O135" s="201">
        <f t="shared" si="30"/>
        <v>0</v>
      </c>
      <c r="P135" s="201">
        <f t="shared" si="31"/>
        <v>0</v>
      </c>
      <c r="Q135" s="201">
        <v>0</v>
      </c>
      <c r="R135" s="202">
        <f t="shared" si="32"/>
        <v>-2138.8085480204459</v>
      </c>
    </row>
    <row r="136" spans="1:18" x14ac:dyDescent="0.2">
      <c r="A136" s="159">
        <v>9</v>
      </c>
      <c r="B136" s="194">
        <f t="shared" si="39"/>
        <v>44805</v>
      </c>
      <c r="C136" s="214">
        <f t="shared" si="41"/>
        <v>44839</v>
      </c>
      <c r="D136" s="214">
        <f t="shared" si="41"/>
        <v>44859</v>
      </c>
      <c r="E136" s="54" t="s">
        <v>15</v>
      </c>
      <c r="F136" s="159">
        <v>9</v>
      </c>
      <c r="G136" s="196">
        <v>9</v>
      </c>
      <c r="H136" s="197">
        <f t="shared" si="27"/>
        <v>1393.5515841383033</v>
      </c>
      <c r="I136" s="197">
        <f t="shared" si="43"/>
        <v>1266.7977110484107</v>
      </c>
      <c r="J136" s="198">
        <f t="shared" si="40"/>
        <v>11401.179399435696</v>
      </c>
      <c r="K136" s="205">
        <f t="shared" si="45"/>
        <v>12541.96425724473</v>
      </c>
      <c r="L136" s="204">
        <f t="shared" si="44"/>
        <v>-1140.7848578090343</v>
      </c>
      <c r="M136" s="201">
        <f t="shared" si="28"/>
        <v>-62.294950452468072</v>
      </c>
      <c r="N136" s="202">
        <f t="shared" si="29"/>
        <v>-1203.0798082615024</v>
      </c>
      <c r="O136" s="201">
        <f t="shared" si="30"/>
        <v>0</v>
      </c>
      <c r="P136" s="201">
        <f t="shared" si="31"/>
        <v>0</v>
      </c>
      <c r="Q136" s="201">
        <v>0</v>
      </c>
      <c r="R136" s="202">
        <f t="shared" si="32"/>
        <v>-1203.0798082615024</v>
      </c>
    </row>
    <row r="137" spans="1:18" x14ac:dyDescent="0.2">
      <c r="A137" s="125">
        <v>10</v>
      </c>
      <c r="B137" s="194">
        <f t="shared" si="39"/>
        <v>44835</v>
      </c>
      <c r="C137" s="214">
        <f t="shared" si="41"/>
        <v>44868</v>
      </c>
      <c r="D137" s="214">
        <f t="shared" si="41"/>
        <v>44888</v>
      </c>
      <c r="E137" s="54" t="s">
        <v>15</v>
      </c>
      <c r="F137" s="159">
        <v>9</v>
      </c>
      <c r="G137" s="196">
        <v>6</v>
      </c>
      <c r="H137" s="197">
        <f t="shared" si="27"/>
        <v>1393.5515841383033</v>
      </c>
      <c r="I137" s="197">
        <f t="shared" si="43"/>
        <v>1266.7977110484107</v>
      </c>
      <c r="J137" s="198">
        <f t="shared" si="40"/>
        <v>7600.7862662904645</v>
      </c>
      <c r="K137" s="205">
        <f t="shared" si="45"/>
        <v>8361.3095048298201</v>
      </c>
      <c r="L137" s="204">
        <f t="shared" si="44"/>
        <v>-760.52323853935559</v>
      </c>
      <c r="M137" s="201">
        <f t="shared" si="28"/>
        <v>-41.529966968312046</v>
      </c>
      <c r="N137" s="202">
        <f t="shared" si="29"/>
        <v>-802.0532055076676</v>
      </c>
      <c r="O137" s="201">
        <f t="shared" si="30"/>
        <v>0</v>
      </c>
      <c r="P137" s="201">
        <f t="shared" si="31"/>
        <v>0</v>
      </c>
      <c r="Q137" s="201">
        <v>0</v>
      </c>
      <c r="R137" s="202">
        <f t="shared" si="32"/>
        <v>-802.0532055076676</v>
      </c>
    </row>
    <row r="138" spans="1:18" x14ac:dyDescent="0.2">
      <c r="A138" s="159">
        <v>11</v>
      </c>
      <c r="B138" s="194">
        <f t="shared" si="39"/>
        <v>44866</v>
      </c>
      <c r="C138" s="214">
        <f t="shared" si="41"/>
        <v>44900</v>
      </c>
      <c r="D138" s="214">
        <f t="shared" si="41"/>
        <v>44918</v>
      </c>
      <c r="E138" s="54" t="s">
        <v>15</v>
      </c>
      <c r="F138" s="159">
        <v>9</v>
      </c>
      <c r="G138" s="196">
        <v>6</v>
      </c>
      <c r="H138" s="197">
        <f t="shared" si="27"/>
        <v>1393.5515841383033</v>
      </c>
      <c r="I138" s="197">
        <f t="shared" si="43"/>
        <v>1266.7977110484107</v>
      </c>
      <c r="J138" s="198">
        <f t="shared" si="40"/>
        <v>7600.7862662904645</v>
      </c>
      <c r="K138" s="205">
        <f t="shared" si="45"/>
        <v>8361.3095048298201</v>
      </c>
      <c r="L138" s="204">
        <f t="shared" si="44"/>
        <v>-760.52323853935559</v>
      </c>
      <c r="M138" s="201">
        <f t="shared" si="28"/>
        <v>-41.529966968312046</v>
      </c>
      <c r="N138" s="202">
        <f t="shared" si="29"/>
        <v>-802.0532055076676</v>
      </c>
      <c r="O138" s="201">
        <f t="shared" si="30"/>
        <v>0</v>
      </c>
      <c r="P138" s="201">
        <f t="shared" si="31"/>
        <v>0</v>
      </c>
      <c r="Q138" s="201">
        <v>0</v>
      </c>
      <c r="R138" s="202">
        <f t="shared" si="32"/>
        <v>-802.0532055076676</v>
      </c>
    </row>
    <row r="139" spans="1:18" s="218" customFormat="1" x14ac:dyDescent="0.2">
      <c r="A139" s="159">
        <v>12</v>
      </c>
      <c r="B139" s="216">
        <f t="shared" si="39"/>
        <v>44896</v>
      </c>
      <c r="C139" s="214">
        <f t="shared" si="41"/>
        <v>44930</v>
      </c>
      <c r="D139" s="214">
        <f t="shared" si="41"/>
        <v>44950</v>
      </c>
      <c r="E139" s="217" t="s">
        <v>15</v>
      </c>
      <c r="F139" s="170">
        <v>9</v>
      </c>
      <c r="G139" s="196">
        <v>8</v>
      </c>
      <c r="H139" s="206">
        <f t="shared" si="27"/>
        <v>1393.5515841383033</v>
      </c>
      <c r="I139" s="206">
        <f t="shared" si="43"/>
        <v>1266.7977110484107</v>
      </c>
      <c r="J139" s="207">
        <f t="shared" si="40"/>
        <v>10134.381688387286</v>
      </c>
      <c r="K139" s="208">
        <f t="shared" si="45"/>
        <v>11148.412673106426</v>
      </c>
      <c r="L139" s="209">
        <f t="shared" si="44"/>
        <v>-1014.0309847191402</v>
      </c>
      <c r="M139" s="201">
        <f t="shared" si="28"/>
        <v>-55.373289291082727</v>
      </c>
      <c r="N139" s="202">
        <f t="shared" si="29"/>
        <v>-1069.4042740102229</v>
      </c>
      <c r="O139" s="201">
        <f t="shared" si="30"/>
        <v>0</v>
      </c>
      <c r="P139" s="201">
        <f t="shared" si="31"/>
        <v>0</v>
      </c>
      <c r="Q139" s="201">
        <v>0</v>
      </c>
      <c r="R139" s="202">
        <f t="shared" si="32"/>
        <v>-1069.4042740102229</v>
      </c>
    </row>
    <row r="140" spans="1:18" x14ac:dyDescent="0.2">
      <c r="A140" s="125">
        <v>1</v>
      </c>
      <c r="B140" s="194">
        <f t="shared" si="39"/>
        <v>44562</v>
      </c>
      <c r="C140" s="211">
        <f t="shared" ref="C140:D151" si="46">+C128</f>
        <v>44595</v>
      </c>
      <c r="D140" s="211">
        <f t="shared" si="46"/>
        <v>44615</v>
      </c>
      <c r="E140" s="221" t="s">
        <v>16</v>
      </c>
      <c r="F140" s="159">
        <v>9</v>
      </c>
      <c r="G140" s="196">
        <v>3</v>
      </c>
      <c r="H140" s="197">
        <f t="shared" si="27"/>
        <v>1393.5515841383033</v>
      </c>
      <c r="I140" s="197">
        <f t="shared" si="43"/>
        <v>1266.7977110484107</v>
      </c>
      <c r="J140" s="198">
        <f t="shared" si="40"/>
        <v>3800.3931331452322</v>
      </c>
      <c r="K140" s="199">
        <f t="shared" si="45"/>
        <v>4180.65475241491</v>
      </c>
      <c r="L140" s="200">
        <f t="shared" si="44"/>
        <v>-380.26161926967779</v>
      </c>
      <c r="M140" s="201">
        <f t="shared" si="28"/>
        <v>-20.764983484156023</v>
      </c>
      <c r="N140" s="202">
        <f t="shared" si="29"/>
        <v>-401.0266027538338</v>
      </c>
      <c r="O140" s="201">
        <f t="shared" si="30"/>
        <v>0</v>
      </c>
      <c r="P140" s="201">
        <f t="shared" si="31"/>
        <v>0</v>
      </c>
      <c r="Q140" s="201">
        <v>0</v>
      </c>
      <c r="R140" s="202">
        <f t="shared" si="32"/>
        <v>-401.0266027538338</v>
      </c>
    </row>
    <row r="141" spans="1:18" x14ac:dyDescent="0.2">
      <c r="A141" s="159">
        <v>2</v>
      </c>
      <c r="B141" s="194">
        <f t="shared" si="39"/>
        <v>44593</v>
      </c>
      <c r="C141" s="214">
        <f t="shared" si="46"/>
        <v>44623</v>
      </c>
      <c r="D141" s="214">
        <f t="shared" si="46"/>
        <v>44642</v>
      </c>
      <c r="E141" s="54" t="s">
        <v>16</v>
      </c>
      <c r="F141" s="159">
        <v>9</v>
      </c>
      <c r="G141" s="196">
        <v>2</v>
      </c>
      <c r="H141" s="197">
        <f t="shared" si="27"/>
        <v>1393.5515841383033</v>
      </c>
      <c r="I141" s="197">
        <f t="shared" si="43"/>
        <v>1266.7977110484107</v>
      </c>
      <c r="J141" s="198">
        <f t="shared" si="40"/>
        <v>2533.5954220968215</v>
      </c>
      <c r="K141" s="199">
        <f t="shared" si="45"/>
        <v>2787.1031682766065</v>
      </c>
      <c r="L141" s="200">
        <f t="shared" si="44"/>
        <v>-253.50774617978504</v>
      </c>
      <c r="M141" s="201">
        <f t="shared" si="28"/>
        <v>-13.843322322770682</v>
      </c>
      <c r="N141" s="202">
        <f t="shared" si="29"/>
        <v>-267.35106850255573</v>
      </c>
      <c r="O141" s="201">
        <f t="shared" si="30"/>
        <v>0</v>
      </c>
      <c r="P141" s="201">
        <f t="shared" si="31"/>
        <v>0</v>
      </c>
      <c r="Q141" s="201">
        <v>0</v>
      </c>
      <c r="R141" s="202">
        <f t="shared" si="32"/>
        <v>-267.35106850255573</v>
      </c>
    </row>
    <row r="142" spans="1:18" x14ac:dyDescent="0.2">
      <c r="A142" s="159">
        <v>3</v>
      </c>
      <c r="B142" s="194">
        <f t="shared" si="39"/>
        <v>44621</v>
      </c>
      <c r="C142" s="214">
        <f t="shared" si="46"/>
        <v>44656</v>
      </c>
      <c r="D142" s="214">
        <f t="shared" si="46"/>
        <v>44676</v>
      </c>
      <c r="E142" s="54" t="s">
        <v>16</v>
      </c>
      <c r="F142" s="159">
        <v>9</v>
      </c>
      <c r="G142" s="196">
        <v>3</v>
      </c>
      <c r="H142" s="197">
        <f t="shared" si="27"/>
        <v>1393.5515841383033</v>
      </c>
      <c r="I142" s="197">
        <f t="shared" si="43"/>
        <v>1266.7977110484107</v>
      </c>
      <c r="J142" s="198">
        <f t="shared" si="40"/>
        <v>3800.3931331452322</v>
      </c>
      <c r="K142" s="199">
        <f t="shared" si="45"/>
        <v>4180.65475241491</v>
      </c>
      <c r="L142" s="200">
        <f>+J142-K142</f>
        <v>-380.26161926967779</v>
      </c>
      <c r="M142" s="201">
        <f t="shared" si="28"/>
        <v>-20.764983484156023</v>
      </c>
      <c r="N142" s="202">
        <f t="shared" si="29"/>
        <v>-401.0266027538338</v>
      </c>
      <c r="O142" s="201">
        <f t="shared" si="30"/>
        <v>0</v>
      </c>
      <c r="P142" s="201">
        <f t="shared" si="31"/>
        <v>0</v>
      </c>
      <c r="Q142" s="201">
        <v>0</v>
      </c>
      <c r="R142" s="202">
        <f t="shared" si="32"/>
        <v>-401.0266027538338</v>
      </c>
    </row>
    <row r="143" spans="1:18" x14ac:dyDescent="0.2">
      <c r="A143" s="125">
        <v>4</v>
      </c>
      <c r="B143" s="194">
        <f t="shared" si="39"/>
        <v>44652</v>
      </c>
      <c r="C143" s="214">
        <f t="shared" si="46"/>
        <v>44685</v>
      </c>
      <c r="D143" s="214">
        <f t="shared" si="46"/>
        <v>44705</v>
      </c>
      <c r="E143" s="54" t="s">
        <v>16</v>
      </c>
      <c r="F143" s="159">
        <v>9</v>
      </c>
      <c r="G143" s="196">
        <v>2</v>
      </c>
      <c r="H143" s="197">
        <f t="shared" si="27"/>
        <v>1393.5515841383033</v>
      </c>
      <c r="I143" s="197">
        <f t="shared" si="43"/>
        <v>1266.7977110484107</v>
      </c>
      <c r="J143" s="198">
        <f t="shared" si="40"/>
        <v>2533.5954220968215</v>
      </c>
      <c r="K143" s="199">
        <f t="shared" si="45"/>
        <v>2787.1031682766065</v>
      </c>
      <c r="L143" s="200">
        <f t="shared" ref="L143:L153" si="47">+J143-K143</f>
        <v>-253.50774617978504</v>
      </c>
      <c r="M143" s="201">
        <f t="shared" si="28"/>
        <v>-13.843322322770682</v>
      </c>
      <c r="N143" s="202">
        <f t="shared" si="29"/>
        <v>-267.35106850255573</v>
      </c>
      <c r="O143" s="201">
        <f t="shared" si="30"/>
        <v>0</v>
      </c>
      <c r="P143" s="201">
        <f t="shared" si="31"/>
        <v>0</v>
      </c>
      <c r="Q143" s="201">
        <v>0</v>
      </c>
      <c r="R143" s="202">
        <f t="shared" si="32"/>
        <v>-267.35106850255573</v>
      </c>
    </row>
    <row r="144" spans="1:18" x14ac:dyDescent="0.2">
      <c r="A144" s="159">
        <v>5</v>
      </c>
      <c r="B144" s="194">
        <f t="shared" si="39"/>
        <v>44682</v>
      </c>
      <c r="C144" s="214">
        <f t="shared" si="46"/>
        <v>44715</v>
      </c>
      <c r="D144" s="214">
        <f t="shared" si="46"/>
        <v>44735</v>
      </c>
      <c r="E144" s="54" t="s">
        <v>16</v>
      </c>
      <c r="F144" s="159">
        <v>9</v>
      </c>
      <c r="G144" s="196">
        <v>3</v>
      </c>
      <c r="H144" s="197">
        <f t="shared" si="27"/>
        <v>1393.5515841383033</v>
      </c>
      <c r="I144" s="197">
        <f t="shared" si="43"/>
        <v>1266.7977110484107</v>
      </c>
      <c r="J144" s="198">
        <f t="shared" si="40"/>
        <v>3800.3931331452322</v>
      </c>
      <c r="K144" s="199">
        <f t="shared" si="45"/>
        <v>4180.65475241491</v>
      </c>
      <c r="L144" s="200">
        <f t="shared" si="47"/>
        <v>-380.26161926967779</v>
      </c>
      <c r="M144" s="201">
        <f t="shared" si="28"/>
        <v>-20.764983484156023</v>
      </c>
      <c r="N144" s="202">
        <f t="shared" si="29"/>
        <v>-401.0266027538338</v>
      </c>
      <c r="O144" s="201">
        <f t="shared" si="30"/>
        <v>0</v>
      </c>
      <c r="P144" s="201">
        <f t="shared" si="31"/>
        <v>0</v>
      </c>
      <c r="Q144" s="201">
        <v>0</v>
      </c>
      <c r="R144" s="202">
        <f t="shared" si="32"/>
        <v>-401.0266027538338</v>
      </c>
    </row>
    <row r="145" spans="1:19" x14ac:dyDescent="0.2">
      <c r="A145" s="159">
        <v>6</v>
      </c>
      <c r="B145" s="194">
        <f t="shared" si="39"/>
        <v>44713</v>
      </c>
      <c r="C145" s="214">
        <f t="shared" si="46"/>
        <v>44747</v>
      </c>
      <c r="D145" s="214">
        <f t="shared" si="46"/>
        <v>44767</v>
      </c>
      <c r="E145" s="54" t="s">
        <v>16</v>
      </c>
      <c r="F145" s="159">
        <v>9</v>
      </c>
      <c r="G145" s="196">
        <v>5</v>
      </c>
      <c r="H145" s="197">
        <f t="shared" si="27"/>
        <v>1393.5515841383033</v>
      </c>
      <c r="I145" s="197">
        <f t="shared" si="43"/>
        <v>1266.7977110484107</v>
      </c>
      <c r="J145" s="198">
        <f t="shared" si="40"/>
        <v>6333.9885552420537</v>
      </c>
      <c r="K145" s="199">
        <f t="shared" si="45"/>
        <v>6967.7579206915161</v>
      </c>
      <c r="L145" s="204">
        <f t="shared" si="47"/>
        <v>-633.76936544946238</v>
      </c>
      <c r="M145" s="201">
        <f t="shared" si="28"/>
        <v>-34.608305806926701</v>
      </c>
      <c r="N145" s="202">
        <f t="shared" si="29"/>
        <v>-668.37767125638914</v>
      </c>
      <c r="O145" s="201">
        <f t="shared" si="30"/>
        <v>0</v>
      </c>
      <c r="P145" s="201">
        <f t="shared" si="31"/>
        <v>0</v>
      </c>
      <c r="Q145" s="201">
        <v>0</v>
      </c>
      <c r="R145" s="202">
        <f t="shared" si="32"/>
        <v>-668.37767125638914</v>
      </c>
    </row>
    <row r="146" spans="1:19" x14ac:dyDescent="0.2">
      <c r="A146" s="125">
        <v>7</v>
      </c>
      <c r="B146" s="194">
        <f t="shared" si="39"/>
        <v>44743</v>
      </c>
      <c r="C146" s="214">
        <f t="shared" si="46"/>
        <v>44776</v>
      </c>
      <c r="D146" s="214">
        <f t="shared" si="46"/>
        <v>44796</v>
      </c>
      <c r="E146" s="54" t="s">
        <v>16</v>
      </c>
      <c r="F146" s="159">
        <v>9</v>
      </c>
      <c r="G146" s="196">
        <v>6</v>
      </c>
      <c r="H146" s="197">
        <f t="shared" si="27"/>
        <v>1393.5515841383033</v>
      </c>
      <c r="I146" s="197">
        <f t="shared" si="43"/>
        <v>1266.7977110484107</v>
      </c>
      <c r="J146" s="198">
        <f t="shared" si="40"/>
        <v>7600.7862662904645</v>
      </c>
      <c r="K146" s="205">
        <f t="shared" si="45"/>
        <v>8361.3095048298201</v>
      </c>
      <c r="L146" s="204">
        <f t="shared" si="47"/>
        <v>-760.52323853935559</v>
      </c>
      <c r="M146" s="201">
        <f t="shared" si="28"/>
        <v>-41.529966968312046</v>
      </c>
      <c r="N146" s="202">
        <f t="shared" si="29"/>
        <v>-802.0532055076676</v>
      </c>
      <c r="O146" s="201">
        <f t="shared" si="30"/>
        <v>0</v>
      </c>
      <c r="P146" s="201">
        <f t="shared" si="31"/>
        <v>0</v>
      </c>
      <c r="Q146" s="201">
        <v>0</v>
      </c>
      <c r="R146" s="202">
        <f t="shared" si="32"/>
        <v>-802.0532055076676</v>
      </c>
    </row>
    <row r="147" spans="1:19" x14ac:dyDescent="0.2">
      <c r="A147" s="159">
        <v>8</v>
      </c>
      <c r="B147" s="194">
        <f t="shared" si="39"/>
        <v>44774</v>
      </c>
      <c r="C147" s="214">
        <f t="shared" si="46"/>
        <v>44809</v>
      </c>
      <c r="D147" s="214">
        <f t="shared" si="46"/>
        <v>44827</v>
      </c>
      <c r="E147" s="54" t="s">
        <v>16</v>
      </c>
      <c r="F147" s="159">
        <v>9</v>
      </c>
      <c r="G147" s="196">
        <v>6</v>
      </c>
      <c r="H147" s="197">
        <f t="shared" si="27"/>
        <v>1393.5515841383033</v>
      </c>
      <c r="I147" s="197">
        <f t="shared" si="43"/>
        <v>1266.7977110484107</v>
      </c>
      <c r="J147" s="198">
        <f t="shared" si="40"/>
        <v>7600.7862662904645</v>
      </c>
      <c r="K147" s="205">
        <f t="shared" si="45"/>
        <v>8361.3095048298201</v>
      </c>
      <c r="L147" s="204">
        <f t="shared" si="47"/>
        <v>-760.52323853935559</v>
      </c>
      <c r="M147" s="201">
        <f t="shared" si="28"/>
        <v>-41.529966968312046</v>
      </c>
      <c r="N147" s="202">
        <f t="shared" si="29"/>
        <v>-802.0532055076676</v>
      </c>
      <c r="O147" s="201">
        <f t="shared" si="30"/>
        <v>0</v>
      </c>
      <c r="P147" s="201">
        <f t="shared" si="31"/>
        <v>0</v>
      </c>
      <c r="Q147" s="201">
        <v>0</v>
      </c>
      <c r="R147" s="202">
        <f t="shared" si="32"/>
        <v>-802.0532055076676</v>
      </c>
    </row>
    <row r="148" spans="1:19" x14ac:dyDescent="0.2">
      <c r="A148" s="159">
        <v>9</v>
      </c>
      <c r="B148" s="194">
        <f t="shared" si="39"/>
        <v>44805</v>
      </c>
      <c r="C148" s="214">
        <f t="shared" si="46"/>
        <v>44839</v>
      </c>
      <c r="D148" s="214">
        <f t="shared" si="46"/>
        <v>44859</v>
      </c>
      <c r="E148" s="54" t="s">
        <v>16</v>
      </c>
      <c r="F148" s="159">
        <v>9</v>
      </c>
      <c r="G148" s="196">
        <v>3</v>
      </c>
      <c r="H148" s="197">
        <f t="shared" si="27"/>
        <v>1393.5515841383033</v>
      </c>
      <c r="I148" s="197">
        <f t="shared" ref="I148:I179" si="48">$J$3</f>
        <v>1266.7977110484107</v>
      </c>
      <c r="J148" s="198">
        <f t="shared" si="40"/>
        <v>3800.3931331452322</v>
      </c>
      <c r="K148" s="205">
        <f t="shared" si="45"/>
        <v>4180.65475241491</v>
      </c>
      <c r="L148" s="204">
        <f t="shared" si="47"/>
        <v>-380.26161926967779</v>
      </c>
      <c r="M148" s="201">
        <f t="shared" si="28"/>
        <v>-20.764983484156023</v>
      </c>
      <c r="N148" s="202">
        <f t="shared" si="29"/>
        <v>-401.0266027538338</v>
      </c>
      <c r="O148" s="201">
        <f t="shared" si="30"/>
        <v>0</v>
      </c>
      <c r="P148" s="201">
        <f t="shared" si="31"/>
        <v>0</v>
      </c>
      <c r="Q148" s="201">
        <v>0</v>
      </c>
      <c r="R148" s="202">
        <f t="shared" si="32"/>
        <v>-401.0266027538338</v>
      </c>
    </row>
    <row r="149" spans="1:19" x14ac:dyDescent="0.2">
      <c r="A149" s="125">
        <v>10</v>
      </c>
      <c r="B149" s="194">
        <f t="shared" ref="B149:B211" si="49">DATE($R$1,A149,1)</f>
        <v>44835</v>
      </c>
      <c r="C149" s="214">
        <f t="shared" si="46"/>
        <v>44868</v>
      </c>
      <c r="D149" s="214">
        <f t="shared" si="46"/>
        <v>44888</v>
      </c>
      <c r="E149" s="54" t="s">
        <v>16</v>
      </c>
      <c r="F149" s="159">
        <v>9</v>
      </c>
      <c r="G149" s="196">
        <v>2</v>
      </c>
      <c r="H149" s="197">
        <f t="shared" ref="H149:H211" si="50">+$K$3</f>
        <v>1393.5515841383033</v>
      </c>
      <c r="I149" s="197">
        <f t="shared" si="48"/>
        <v>1266.7977110484107</v>
      </c>
      <c r="J149" s="198">
        <f t="shared" ref="J149:J211" si="51">+$G149*I149</f>
        <v>2533.5954220968215</v>
      </c>
      <c r="K149" s="205">
        <f t="shared" si="45"/>
        <v>2787.1031682766065</v>
      </c>
      <c r="L149" s="204">
        <f t="shared" si="47"/>
        <v>-253.50774617978504</v>
      </c>
      <c r="M149" s="201">
        <f t="shared" ref="M149:M211" si="52">G149/$G$212*$M$14</f>
        <v>-13.843322322770682</v>
      </c>
      <c r="N149" s="202">
        <f t="shared" ref="N149:N211" si="53">SUM(L149:M149)</f>
        <v>-267.35106850255573</v>
      </c>
      <c r="O149" s="201">
        <f t="shared" ref="O149:O211" si="54">+$P$3</f>
        <v>0</v>
      </c>
      <c r="P149" s="201">
        <f t="shared" ref="P149:P211" si="55">+G149*O149</f>
        <v>0</v>
      </c>
      <c r="Q149" s="201">
        <v>0</v>
      </c>
      <c r="R149" s="202">
        <f t="shared" ref="R149:R211" si="56">+N149-Q149</f>
        <v>-267.35106850255573</v>
      </c>
    </row>
    <row r="150" spans="1:19" x14ac:dyDescent="0.2">
      <c r="A150" s="159">
        <v>11</v>
      </c>
      <c r="B150" s="194">
        <f t="shared" si="49"/>
        <v>44866</v>
      </c>
      <c r="C150" s="214">
        <f t="shared" si="46"/>
        <v>44900</v>
      </c>
      <c r="D150" s="214">
        <f t="shared" si="46"/>
        <v>44918</v>
      </c>
      <c r="E150" s="54" t="s">
        <v>16</v>
      </c>
      <c r="F150" s="159">
        <v>9</v>
      </c>
      <c r="G150" s="196">
        <v>1</v>
      </c>
      <c r="H150" s="197">
        <f t="shared" si="50"/>
        <v>1393.5515841383033</v>
      </c>
      <c r="I150" s="197">
        <f t="shared" si="48"/>
        <v>1266.7977110484107</v>
      </c>
      <c r="J150" s="198">
        <f t="shared" si="51"/>
        <v>1266.7977110484107</v>
      </c>
      <c r="K150" s="205">
        <f t="shared" si="45"/>
        <v>1393.5515841383033</v>
      </c>
      <c r="L150" s="204">
        <f t="shared" si="47"/>
        <v>-126.75387308989252</v>
      </c>
      <c r="M150" s="201">
        <f t="shared" si="52"/>
        <v>-6.9216611613853409</v>
      </c>
      <c r="N150" s="202">
        <f t="shared" si="53"/>
        <v>-133.67553425127787</v>
      </c>
      <c r="O150" s="201">
        <f t="shared" si="54"/>
        <v>0</v>
      </c>
      <c r="P150" s="201">
        <f t="shared" si="55"/>
        <v>0</v>
      </c>
      <c r="Q150" s="201">
        <v>0</v>
      </c>
      <c r="R150" s="202">
        <f t="shared" si="56"/>
        <v>-133.67553425127787</v>
      </c>
    </row>
    <row r="151" spans="1:19" s="218" customFormat="1" x14ac:dyDescent="0.2">
      <c r="A151" s="159">
        <v>12</v>
      </c>
      <c r="B151" s="216">
        <f t="shared" si="49"/>
        <v>44896</v>
      </c>
      <c r="C151" s="214">
        <f t="shared" si="46"/>
        <v>44930</v>
      </c>
      <c r="D151" s="214">
        <f t="shared" si="46"/>
        <v>44950</v>
      </c>
      <c r="E151" s="217" t="s">
        <v>16</v>
      </c>
      <c r="F151" s="170">
        <v>9</v>
      </c>
      <c r="G151" s="196">
        <v>4</v>
      </c>
      <c r="H151" s="206">
        <f t="shared" si="50"/>
        <v>1393.5515841383033</v>
      </c>
      <c r="I151" s="206">
        <f t="shared" si="48"/>
        <v>1266.7977110484107</v>
      </c>
      <c r="J151" s="207">
        <f t="shared" si="51"/>
        <v>5067.190844193643</v>
      </c>
      <c r="K151" s="208">
        <f t="shared" si="45"/>
        <v>5574.2063365532131</v>
      </c>
      <c r="L151" s="209">
        <f t="shared" si="47"/>
        <v>-507.01549235957009</v>
      </c>
      <c r="M151" s="201">
        <f t="shared" si="52"/>
        <v>-27.686644645541364</v>
      </c>
      <c r="N151" s="202">
        <f t="shared" si="53"/>
        <v>-534.70213700511147</v>
      </c>
      <c r="O151" s="201">
        <f t="shared" si="54"/>
        <v>0</v>
      </c>
      <c r="P151" s="201">
        <f t="shared" si="55"/>
        <v>0</v>
      </c>
      <c r="Q151" s="201">
        <v>0</v>
      </c>
      <c r="R151" s="202">
        <f t="shared" si="56"/>
        <v>-534.70213700511147</v>
      </c>
    </row>
    <row r="152" spans="1:19" x14ac:dyDescent="0.2">
      <c r="A152" s="125">
        <v>1</v>
      </c>
      <c r="B152" s="194">
        <f t="shared" si="49"/>
        <v>44562</v>
      </c>
      <c r="C152" s="211">
        <f t="shared" ref="C152:D171" si="57">+C140</f>
        <v>44595</v>
      </c>
      <c r="D152" s="211">
        <f t="shared" si="57"/>
        <v>44615</v>
      </c>
      <c r="E152" s="221" t="s">
        <v>56</v>
      </c>
      <c r="F152" s="125">
        <v>9</v>
      </c>
      <c r="G152" s="196">
        <v>121</v>
      </c>
      <c r="H152" s="197">
        <f t="shared" si="50"/>
        <v>1393.5515841383033</v>
      </c>
      <c r="I152" s="197">
        <f t="shared" si="48"/>
        <v>1266.7977110484107</v>
      </c>
      <c r="J152" s="198">
        <f t="shared" si="51"/>
        <v>153282.52303685769</v>
      </c>
      <c r="K152" s="199">
        <f t="shared" si="45"/>
        <v>168619.7416807347</v>
      </c>
      <c r="L152" s="200">
        <f t="shared" si="47"/>
        <v>-15337.218643877015</v>
      </c>
      <c r="M152" s="201">
        <f t="shared" si="52"/>
        <v>-837.52100052762626</v>
      </c>
      <c r="N152" s="202">
        <f t="shared" si="53"/>
        <v>-16174.739644404641</v>
      </c>
      <c r="O152" s="201">
        <f t="shared" si="54"/>
        <v>0</v>
      </c>
      <c r="P152" s="201">
        <f t="shared" si="55"/>
        <v>0</v>
      </c>
      <c r="Q152" s="201">
        <v>0</v>
      </c>
      <c r="R152" s="202">
        <f t="shared" si="56"/>
        <v>-16174.739644404641</v>
      </c>
    </row>
    <row r="153" spans="1:19" x14ac:dyDescent="0.2">
      <c r="A153" s="159">
        <v>2</v>
      </c>
      <c r="B153" s="194">
        <f t="shared" si="49"/>
        <v>44593</v>
      </c>
      <c r="C153" s="214">
        <f t="shared" si="57"/>
        <v>44623</v>
      </c>
      <c r="D153" s="214">
        <f t="shared" si="57"/>
        <v>44642</v>
      </c>
      <c r="E153" s="222" t="s">
        <v>56</v>
      </c>
      <c r="F153" s="159">
        <v>9</v>
      </c>
      <c r="G153" s="196">
        <v>109</v>
      </c>
      <c r="H153" s="197">
        <f t="shared" si="50"/>
        <v>1393.5515841383033</v>
      </c>
      <c r="I153" s="197">
        <f t="shared" si="48"/>
        <v>1266.7977110484107</v>
      </c>
      <c r="J153" s="198">
        <f t="shared" si="51"/>
        <v>138080.95050427679</v>
      </c>
      <c r="K153" s="199">
        <f t="shared" si="45"/>
        <v>151897.12267107505</v>
      </c>
      <c r="L153" s="200">
        <f t="shared" si="47"/>
        <v>-13816.172166798264</v>
      </c>
      <c r="M153" s="201">
        <f t="shared" si="52"/>
        <v>-754.46106659100212</v>
      </c>
      <c r="N153" s="202">
        <f t="shared" si="53"/>
        <v>-14570.633233389266</v>
      </c>
      <c r="O153" s="201">
        <f t="shared" si="54"/>
        <v>0</v>
      </c>
      <c r="P153" s="201">
        <f t="shared" si="55"/>
        <v>0</v>
      </c>
      <c r="Q153" s="201">
        <v>0</v>
      </c>
      <c r="R153" s="202">
        <f t="shared" si="56"/>
        <v>-14570.633233389266</v>
      </c>
    </row>
    <row r="154" spans="1:19" x14ac:dyDescent="0.2">
      <c r="A154" s="159">
        <v>3</v>
      </c>
      <c r="B154" s="194">
        <f t="shared" si="49"/>
        <v>44621</v>
      </c>
      <c r="C154" s="214">
        <f t="shared" si="57"/>
        <v>44656</v>
      </c>
      <c r="D154" s="214">
        <f t="shared" si="57"/>
        <v>44676</v>
      </c>
      <c r="E154" s="222" t="s">
        <v>56</v>
      </c>
      <c r="F154" s="159">
        <v>9</v>
      </c>
      <c r="G154" s="196">
        <v>95</v>
      </c>
      <c r="H154" s="197">
        <f t="shared" si="50"/>
        <v>1393.5515841383033</v>
      </c>
      <c r="I154" s="197">
        <f t="shared" si="48"/>
        <v>1266.7977110484107</v>
      </c>
      <c r="J154" s="198">
        <f t="shared" si="51"/>
        <v>120345.78254959903</v>
      </c>
      <c r="K154" s="199">
        <f t="shared" si="45"/>
        <v>132387.40049313882</v>
      </c>
      <c r="L154" s="200">
        <f>+J154-K154</f>
        <v>-12041.617943539793</v>
      </c>
      <c r="M154" s="201">
        <f t="shared" si="52"/>
        <v>-657.55781033160736</v>
      </c>
      <c r="N154" s="202">
        <f t="shared" si="53"/>
        <v>-12699.175753871401</v>
      </c>
      <c r="O154" s="201">
        <f t="shared" si="54"/>
        <v>0</v>
      </c>
      <c r="P154" s="201">
        <f t="shared" si="55"/>
        <v>0</v>
      </c>
      <c r="Q154" s="201">
        <v>0</v>
      </c>
      <c r="R154" s="202">
        <f t="shared" si="56"/>
        <v>-12699.175753871401</v>
      </c>
    </row>
    <row r="155" spans="1:19" x14ac:dyDescent="0.2">
      <c r="A155" s="125">
        <v>4</v>
      </c>
      <c r="B155" s="194">
        <f t="shared" si="49"/>
        <v>44652</v>
      </c>
      <c r="C155" s="214">
        <f t="shared" si="57"/>
        <v>44685</v>
      </c>
      <c r="D155" s="214">
        <f t="shared" si="57"/>
        <v>44705</v>
      </c>
      <c r="E155" s="222" t="s">
        <v>56</v>
      </c>
      <c r="F155" s="159">
        <v>9</v>
      </c>
      <c r="G155" s="196">
        <v>93</v>
      </c>
      <c r="H155" s="197">
        <f t="shared" si="50"/>
        <v>1393.5515841383033</v>
      </c>
      <c r="I155" s="197">
        <f t="shared" si="48"/>
        <v>1266.7977110484107</v>
      </c>
      <c r="J155" s="198">
        <f t="shared" si="51"/>
        <v>117812.1871275022</v>
      </c>
      <c r="K155" s="199">
        <f t="shared" si="45"/>
        <v>129600.2973248622</v>
      </c>
      <c r="L155" s="200">
        <f t="shared" ref="L155:L165" si="58">+J155-K155</f>
        <v>-11788.110197360002</v>
      </c>
      <c r="M155" s="201">
        <f t="shared" si="52"/>
        <v>-643.71448800883672</v>
      </c>
      <c r="N155" s="202">
        <f t="shared" si="53"/>
        <v>-12431.824685368838</v>
      </c>
      <c r="O155" s="201">
        <f t="shared" si="54"/>
        <v>0</v>
      </c>
      <c r="P155" s="201">
        <f t="shared" si="55"/>
        <v>0</v>
      </c>
      <c r="Q155" s="201">
        <v>0</v>
      </c>
      <c r="R155" s="202">
        <f t="shared" si="56"/>
        <v>-12431.824685368838</v>
      </c>
    </row>
    <row r="156" spans="1:19" x14ac:dyDescent="0.2">
      <c r="A156" s="159">
        <v>5</v>
      </c>
      <c r="B156" s="194">
        <f t="shared" si="49"/>
        <v>44682</v>
      </c>
      <c r="C156" s="214">
        <f t="shared" si="57"/>
        <v>44715</v>
      </c>
      <c r="D156" s="214">
        <f t="shared" si="57"/>
        <v>44735</v>
      </c>
      <c r="E156" s="222" t="s">
        <v>56</v>
      </c>
      <c r="F156" s="159">
        <v>9</v>
      </c>
      <c r="G156" s="196">
        <v>125</v>
      </c>
      <c r="H156" s="197">
        <f t="shared" si="50"/>
        <v>1393.5515841383033</v>
      </c>
      <c r="I156" s="197">
        <f t="shared" si="48"/>
        <v>1266.7977110484107</v>
      </c>
      <c r="J156" s="198">
        <f t="shared" si="51"/>
        <v>158349.71388105134</v>
      </c>
      <c r="K156" s="199">
        <f t="shared" si="45"/>
        <v>174193.94801728791</v>
      </c>
      <c r="L156" s="200">
        <f t="shared" si="58"/>
        <v>-15844.23413623657</v>
      </c>
      <c r="M156" s="201">
        <f t="shared" si="52"/>
        <v>-865.20764517316752</v>
      </c>
      <c r="N156" s="202">
        <f t="shared" si="53"/>
        <v>-16709.441781409736</v>
      </c>
      <c r="O156" s="201">
        <f t="shared" si="54"/>
        <v>0</v>
      </c>
      <c r="P156" s="201">
        <f t="shared" si="55"/>
        <v>0</v>
      </c>
      <c r="Q156" s="201">
        <v>0</v>
      </c>
      <c r="R156" s="202">
        <f t="shared" si="56"/>
        <v>-16709.441781409736</v>
      </c>
    </row>
    <row r="157" spans="1:19" x14ac:dyDescent="0.2">
      <c r="A157" s="159">
        <v>6</v>
      </c>
      <c r="B157" s="194">
        <f t="shared" si="49"/>
        <v>44713</v>
      </c>
      <c r="C157" s="214">
        <f t="shared" si="57"/>
        <v>44747</v>
      </c>
      <c r="D157" s="214">
        <f t="shared" si="57"/>
        <v>44767</v>
      </c>
      <c r="E157" s="222" t="s">
        <v>56</v>
      </c>
      <c r="F157" s="159">
        <v>9</v>
      </c>
      <c r="G157" s="196">
        <v>159</v>
      </c>
      <c r="H157" s="197">
        <f t="shared" si="50"/>
        <v>1393.5515841383033</v>
      </c>
      <c r="I157" s="197">
        <f t="shared" si="48"/>
        <v>1266.7977110484107</v>
      </c>
      <c r="J157" s="198">
        <f t="shared" si="51"/>
        <v>201420.8360566973</v>
      </c>
      <c r="K157" s="199">
        <f t="shared" si="45"/>
        <v>221574.70187799021</v>
      </c>
      <c r="L157" s="204">
        <f t="shared" si="58"/>
        <v>-20153.865821292915</v>
      </c>
      <c r="M157" s="201">
        <f t="shared" si="52"/>
        <v>-1100.5441246602693</v>
      </c>
      <c r="N157" s="202">
        <f t="shared" si="53"/>
        <v>-21254.409945953183</v>
      </c>
      <c r="O157" s="201">
        <f t="shared" si="54"/>
        <v>0</v>
      </c>
      <c r="P157" s="201">
        <f t="shared" si="55"/>
        <v>0</v>
      </c>
      <c r="Q157" s="201">
        <v>0</v>
      </c>
      <c r="R157" s="202">
        <f t="shared" si="56"/>
        <v>-21254.409945953183</v>
      </c>
    </row>
    <row r="158" spans="1:19" x14ac:dyDescent="0.2">
      <c r="A158" s="125">
        <v>7</v>
      </c>
      <c r="B158" s="194">
        <f t="shared" si="49"/>
        <v>44743</v>
      </c>
      <c r="C158" s="214">
        <f t="shared" si="57"/>
        <v>44776</v>
      </c>
      <c r="D158" s="214">
        <f t="shared" si="57"/>
        <v>44796</v>
      </c>
      <c r="E158" s="222" t="s">
        <v>56</v>
      </c>
      <c r="F158" s="159">
        <v>9</v>
      </c>
      <c r="G158" s="196">
        <v>176</v>
      </c>
      <c r="H158" s="197">
        <f t="shared" si="50"/>
        <v>1393.5515841383033</v>
      </c>
      <c r="I158" s="197">
        <f t="shared" si="48"/>
        <v>1266.7977110484107</v>
      </c>
      <c r="J158" s="198">
        <f t="shared" si="51"/>
        <v>222956.39714452031</v>
      </c>
      <c r="K158" s="205">
        <f t="shared" si="45"/>
        <v>245265.07880834138</v>
      </c>
      <c r="L158" s="204">
        <f t="shared" si="58"/>
        <v>-22308.681663821073</v>
      </c>
      <c r="M158" s="201">
        <f t="shared" si="52"/>
        <v>-1218.2123644038199</v>
      </c>
      <c r="N158" s="202">
        <f t="shared" si="53"/>
        <v>-23526.894028224891</v>
      </c>
      <c r="O158" s="201">
        <f t="shared" si="54"/>
        <v>0</v>
      </c>
      <c r="P158" s="201">
        <f t="shared" si="55"/>
        <v>0</v>
      </c>
      <c r="Q158" s="201">
        <v>0</v>
      </c>
      <c r="R158" s="202">
        <f t="shared" si="56"/>
        <v>-23526.894028224891</v>
      </c>
    </row>
    <row r="159" spans="1:19" x14ac:dyDescent="0.2">
      <c r="A159" s="159">
        <v>8</v>
      </c>
      <c r="B159" s="194">
        <f t="shared" si="49"/>
        <v>44774</v>
      </c>
      <c r="C159" s="214">
        <f t="shared" si="57"/>
        <v>44809</v>
      </c>
      <c r="D159" s="214">
        <f t="shared" si="57"/>
        <v>44827</v>
      </c>
      <c r="E159" s="222" t="s">
        <v>56</v>
      </c>
      <c r="F159" s="125">
        <v>9</v>
      </c>
      <c r="G159" s="196">
        <v>167</v>
      </c>
      <c r="H159" s="197">
        <f t="shared" si="50"/>
        <v>1393.5515841383033</v>
      </c>
      <c r="I159" s="197">
        <f t="shared" si="48"/>
        <v>1266.7977110484107</v>
      </c>
      <c r="J159" s="198">
        <f t="shared" si="51"/>
        <v>211555.21774508461</v>
      </c>
      <c r="K159" s="205">
        <f t="shared" si="45"/>
        <v>232723.11455109666</v>
      </c>
      <c r="L159" s="204">
        <f t="shared" si="58"/>
        <v>-21167.896806012053</v>
      </c>
      <c r="M159" s="201">
        <f t="shared" si="52"/>
        <v>-1155.917413951352</v>
      </c>
      <c r="N159" s="202">
        <f t="shared" si="53"/>
        <v>-22323.814219963406</v>
      </c>
      <c r="O159" s="201">
        <f t="shared" si="54"/>
        <v>0</v>
      </c>
      <c r="P159" s="201">
        <f t="shared" si="55"/>
        <v>0</v>
      </c>
      <c r="Q159" s="201">
        <v>0</v>
      </c>
      <c r="R159" s="202">
        <f t="shared" si="56"/>
        <v>-22323.814219963406</v>
      </c>
      <c r="S159" s="52"/>
    </row>
    <row r="160" spans="1:19" x14ac:dyDescent="0.2">
      <c r="A160" s="159">
        <v>9</v>
      </c>
      <c r="B160" s="194">
        <f t="shared" si="49"/>
        <v>44805</v>
      </c>
      <c r="C160" s="214">
        <f t="shared" si="57"/>
        <v>44839</v>
      </c>
      <c r="D160" s="214">
        <f t="shared" si="57"/>
        <v>44859</v>
      </c>
      <c r="E160" s="222" t="s">
        <v>56</v>
      </c>
      <c r="F160" s="125">
        <v>9</v>
      </c>
      <c r="G160" s="196">
        <v>153</v>
      </c>
      <c r="H160" s="197">
        <f t="shared" si="50"/>
        <v>1393.5515841383033</v>
      </c>
      <c r="I160" s="197">
        <f t="shared" si="48"/>
        <v>1266.7977110484107</v>
      </c>
      <c r="J160" s="198">
        <f t="shared" si="51"/>
        <v>193820.04979040683</v>
      </c>
      <c r="K160" s="205">
        <f t="shared" si="45"/>
        <v>213213.3923731604</v>
      </c>
      <c r="L160" s="204">
        <f t="shared" si="58"/>
        <v>-19393.342582753568</v>
      </c>
      <c r="M160" s="201">
        <f t="shared" si="52"/>
        <v>-1059.0141576919571</v>
      </c>
      <c r="N160" s="202">
        <f t="shared" si="53"/>
        <v>-20452.356740445524</v>
      </c>
      <c r="O160" s="201">
        <f t="shared" si="54"/>
        <v>0</v>
      </c>
      <c r="P160" s="201">
        <f t="shared" si="55"/>
        <v>0</v>
      </c>
      <c r="Q160" s="201">
        <v>0</v>
      </c>
      <c r="R160" s="202">
        <f t="shared" si="56"/>
        <v>-20452.356740445524</v>
      </c>
    </row>
    <row r="161" spans="1:19" x14ac:dyDescent="0.2">
      <c r="A161" s="125">
        <v>10</v>
      </c>
      <c r="B161" s="194">
        <f t="shared" si="49"/>
        <v>44835</v>
      </c>
      <c r="C161" s="214">
        <f t="shared" si="57"/>
        <v>44868</v>
      </c>
      <c r="D161" s="214">
        <f t="shared" si="57"/>
        <v>44888</v>
      </c>
      <c r="E161" s="222" t="s">
        <v>56</v>
      </c>
      <c r="F161" s="125">
        <v>9</v>
      </c>
      <c r="G161" s="196">
        <v>104</v>
      </c>
      <c r="H161" s="197">
        <f t="shared" si="50"/>
        <v>1393.5515841383033</v>
      </c>
      <c r="I161" s="197">
        <f t="shared" si="48"/>
        <v>1266.7977110484107</v>
      </c>
      <c r="J161" s="198">
        <f t="shared" si="51"/>
        <v>131746.96194903471</v>
      </c>
      <c r="K161" s="205">
        <f t="shared" si="45"/>
        <v>144929.36475038354</v>
      </c>
      <c r="L161" s="204">
        <f t="shared" si="58"/>
        <v>-13182.402801348828</v>
      </c>
      <c r="M161" s="201">
        <f t="shared" si="52"/>
        <v>-719.85276078407537</v>
      </c>
      <c r="N161" s="202">
        <f t="shared" si="53"/>
        <v>-13902.255562132903</v>
      </c>
      <c r="O161" s="201">
        <f t="shared" si="54"/>
        <v>0</v>
      </c>
      <c r="P161" s="201">
        <f t="shared" si="55"/>
        <v>0</v>
      </c>
      <c r="Q161" s="201">
        <v>0</v>
      </c>
      <c r="R161" s="202">
        <f t="shared" si="56"/>
        <v>-13902.255562132903</v>
      </c>
    </row>
    <row r="162" spans="1:19" x14ac:dyDescent="0.2">
      <c r="A162" s="159">
        <v>11</v>
      </c>
      <c r="B162" s="194">
        <f t="shared" si="49"/>
        <v>44866</v>
      </c>
      <c r="C162" s="214">
        <f t="shared" si="57"/>
        <v>44900</v>
      </c>
      <c r="D162" s="214">
        <f t="shared" si="57"/>
        <v>44918</v>
      </c>
      <c r="E162" s="222" t="s">
        <v>56</v>
      </c>
      <c r="F162" s="125">
        <v>9</v>
      </c>
      <c r="G162" s="196">
        <v>104</v>
      </c>
      <c r="H162" s="197">
        <f t="shared" si="50"/>
        <v>1393.5515841383033</v>
      </c>
      <c r="I162" s="197">
        <f t="shared" si="48"/>
        <v>1266.7977110484107</v>
      </c>
      <c r="J162" s="198">
        <f t="shared" si="51"/>
        <v>131746.96194903471</v>
      </c>
      <c r="K162" s="205">
        <f t="shared" si="45"/>
        <v>144929.36475038354</v>
      </c>
      <c r="L162" s="204">
        <f t="shared" si="58"/>
        <v>-13182.402801348828</v>
      </c>
      <c r="M162" s="201">
        <f t="shared" si="52"/>
        <v>-719.85276078407537</v>
      </c>
      <c r="N162" s="202">
        <f t="shared" si="53"/>
        <v>-13902.255562132903</v>
      </c>
      <c r="O162" s="201">
        <f t="shared" si="54"/>
        <v>0</v>
      </c>
      <c r="P162" s="201">
        <f t="shared" si="55"/>
        <v>0</v>
      </c>
      <c r="Q162" s="201">
        <v>0</v>
      </c>
      <c r="R162" s="202">
        <f t="shared" si="56"/>
        <v>-13902.255562132903</v>
      </c>
    </row>
    <row r="163" spans="1:19" s="218" customFormat="1" x14ac:dyDescent="0.2">
      <c r="A163" s="159">
        <v>12</v>
      </c>
      <c r="B163" s="216">
        <f t="shared" si="49"/>
        <v>44896</v>
      </c>
      <c r="C163" s="214">
        <f t="shared" si="57"/>
        <v>44930</v>
      </c>
      <c r="D163" s="214">
        <f t="shared" si="57"/>
        <v>44950</v>
      </c>
      <c r="E163" s="223" t="s">
        <v>56</v>
      </c>
      <c r="F163" s="170">
        <v>9</v>
      </c>
      <c r="G163" s="196">
        <v>139</v>
      </c>
      <c r="H163" s="206">
        <f t="shared" si="50"/>
        <v>1393.5515841383033</v>
      </c>
      <c r="I163" s="206">
        <f t="shared" si="48"/>
        <v>1266.7977110484107</v>
      </c>
      <c r="J163" s="207">
        <f t="shared" si="51"/>
        <v>176084.88183572909</v>
      </c>
      <c r="K163" s="208">
        <f t="shared" si="45"/>
        <v>193703.67019522414</v>
      </c>
      <c r="L163" s="209">
        <f t="shared" si="58"/>
        <v>-17618.788359495054</v>
      </c>
      <c r="M163" s="201">
        <f t="shared" si="52"/>
        <v>-962.1109014325624</v>
      </c>
      <c r="N163" s="202">
        <f t="shared" si="53"/>
        <v>-18580.899260927617</v>
      </c>
      <c r="O163" s="201">
        <f t="shared" si="54"/>
        <v>0</v>
      </c>
      <c r="P163" s="201">
        <f t="shared" si="55"/>
        <v>0</v>
      </c>
      <c r="Q163" s="201">
        <v>0</v>
      </c>
      <c r="R163" s="202">
        <f t="shared" si="56"/>
        <v>-18580.899260927617</v>
      </c>
    </row>
    <row r="164" spans="1:19" x14ac:dyDescent="0.2">
      <c r="A164" s="125">
        <v>1</v>
      </c>
      <c r="B164" s="194">
        <f t="shared" si="49"/>
        <v>44562</v>
      </c>
      <c r="C164" s="211">
        <f t="shared" si="57"/>
        <v>44595</v>
      </c>
      <c r="D164" s="211">
        <f t="shared" si="57"/>
        <v>44615</v>
      </c>
      <c r="E164" s="221" t="s">
        <v>57</v>
      </c>
      <c r="F164" s="125">
        <v>9</v>
      </c>
      <c r="G164" s="196">
        <v>8</v>
      </c>
      <c r="H164" s="197">
        <f t="shared" si="50"/>
        <v>1393.5515841383033</v>
      </c>
      <c r="I164" s="197">
        <f t="shared" si="48"/>
        <v>1266.7977110484107</v>
      </c>
      <c r="J164" s="198">
        <f t="shared" si="51"/>
        <v>10134.381688387286</v>
      </c>
      <c r="K164" s="199">
        <f t="shared" si="45"/>
        <v>11148.412673106426</v>
      </c>
      <c r="L164" s="200">
        <f t="shared" si="58"/>
        <v>-1014.0309847191402</v>
      </c>
      <c r="M164" s="201">
        <f t="shared" si="52"/>
        <v>-55.373289291082727</v>
      </c>
      <c r="N164" s="202">
        <f t="shared" si="53"/>
        <v>-1069.4042740102229</v>
      </c>
      <c r="O164" s="201">
        <f t="shared" si="54"/>
        <v>0</v>
      </c>
      <c r="P164" s="201">
        <f t="shared" si="55"/>
        <v>0</v>
      </c>
      <c r="Q164" s="201">
        <v>0</v>
      </c>
      <c r="R164" s="202">
        <f t="shared" si="56"/>
        <v>-1069.4042740102229</v>
      </c>
    </row>
    <row r="165" spans="1:19" x14ac:dyDescent="0.2">
      <c r="A165" s="159">
        <v>2</v>
      </c>
      <c r="B165" s="194">
        <f t="shared" si="49"/>
        <v>44593</v>
      </c>
      <c r="C165" s="214">
        <f t="shared" si="57"/>
        <v>44623</v>
      </c>
      <c r="D165" s="214">
        <f t="shared" si="57"/>
        <v>44642</v>
      </c>
      <c r="E165" s="222" t="s">
        <v>57</v>
      </c>
      <c r="F165" s="159">
        <v>9</v>
      </c>
      <c r="G165" s="196">
        <v>11</v>
      </c>
      <c r="H165" s="197">
        <f t="shared" si="50"/>
        <v>1393.5515841383033</v>
      </c>
      <c r="I165" s="197">
        <f t="shared" si="48"/>
        <v>1266.7977110484107</v>
      </c>
      <c r="J165" s="198">
        <f t="shared" si="51"/>
        <v>13934.774821532519</v>
      </c>
      <c r="K165" s="199">
        <f t="shared" si="45"/>
        <v>15329.067425521336</v>
      </c>
      <c r="L165" s="200">
        <f t="shared" si="58"/>
        <v>-1394.2926039888171</v>
      </c>
      <c r="M165" s="201">
        <f t="shared" si="52"/>
        <v>-76.138272775238747</v>
      </c>
      <c r="N165" s="202">
        <f t="shared" si="53"/>
        <v>-1470.4308767640557</v>
      </c>
      <c r="O165" s="201">
        <f t="shared" si="54"/>
        <v>0</v>
      </c>
      <c r="P165" s="201">
        <f t="shared" si="55"/>
        <v>0</v>
      </c>
      <c r="Q165" s="201">
        <v>0</v>
      </c>
      <c r="R165" s="202">
        <f t="shared" si="56"/>
        <v>-1470.4308767640557</v>
      </c>
    </row>
    <row r="166" spans="1:19" x14ac:dyDescent="0.2">
      <c r="A166" s="159">
        <v>3</v>
      </c>
      <c r="B166" s="194">
        <f t="shared" si="49"/>
        <v>44621</v>
      </c>
      <c r="C166" s="214">
        <f t="shared" si="57"/>
        <v>44656</v>
      </c>
      <c r="D166" s="214">
        <f t="shared" si="57"/>
        <v>44676</v>
      </c>
      <c r="E166" s="222" t="s">
        <v>57</v>
      </c>
      <c r="F166" s="159">
        <v>9</v>
      </c>
      <c r="G166" s="196">
        <v>9</v>
      </c>
      <c r="H166" s="197">
        <f t="shared" si="50"/>
        <v>1393.5515841383033</v>
      </c>
      <c r="I166" s="197">
        <f t="shared" si="48"/>
        <v>1266.7977110484107</v>
      </c>
      <c r="J166" s="198">
        <f t="shared" si="51"/>
        <v>11401.179399435696</v>
      </c>
      <c r="K166" s="199">
        <f t="shared" si="45"/>
        <v>12541.96425724473</v>
      </c>
      <c r="L166" s="200">
        <f>+J166-K166</f>
        <v>-1140.7848578090343</v>
      </c>
      <c r="M166" s="201">
        <f t="shared" si="52"/>
        <v>-62.294950452468072</v>
      </c>
      <c r="N166" s="202">
        <f t="shared" si="53"/>
        <v>-1203.0798082615024</v>
      </c>
      <c r="O166" s="201">
        <f t="shared" si="54"/>
        <v>0</v>
      </c>
      <c r="P166" s="201">
        <f t="shared" si="55"/>
        <v>0</v>
      </c>
      <c r="Q166" s="201">
        <v>0</v>
      </c>
      <c r="R166" s="202">
        <f t="shared" si="56"/>
        <v>-1203.0798082615024</v>
      </c>
    </row>
    <row r="167" spans="1:19" x14ac:dyDescent="0.2">
      <c r="A167" s="125">
        <v>4</v>
      </c>
      <c r="B167" s="194">
        <f t="shared" si="49"/>
        <v>44652</v>
      </c>
      <c r="C167" s="214">
        <f t="shared" si="57"/>
        <v>44685</v>
      </c>
      <c r="D167" s="214">
        <f t="shared" si="57"/>
        <v>44705</v>
      </c>
      <c r="E167" s="222" t="s">
        <v>57</v>
      </c>
      <c r="F167" s="159">
        <v>9</v>
      </c>
      <c r="G167" s="196">
        <v>11</v>
      </c>
      <c r="H167" s="197">
        <f t="shared" si="50"/>
        <v>1393.5515841383033</v>
      </c>
      <c r="I167" s="197">
        <f t="shared" si="48"/>
        <v>1266.7977110484107</v>
      </c>
      <c r="J167" s="198">
        <f t="shared" si="51"/>
        <v>13934.774821532519</v>
      </c>
      <c r="K167" s="199">
        <f t="shared" si="45"/>
        <v>15329.067425521336</v>
      </c>
      <c r="L167" s="200">
        <f t="shared" ref="L167:L177" si="59">+J167-K167</f>
        <v>-1394.2926039888171</v>
      </c>
      <c r="M167" s="201">
        <f t="shared" si="52"/>
        <v>-76.138272775238747</v>
      </c>
      <c r="N167" s="202">
        <f t="shared" si="53"/>
        <v>-1470.4308767640557</v>
      </c>
      <c r="O167" s="201">
        <f t="shared" si="54"/>
        <v>0</v>
      </c>
      <c r="P167" s="201">
        <f t="shared" si="55"/>
        <v>0</v>
      </c>
      <c r="Q167" s="201">
        <v>0</v>
      </c>
      <c r="R167" s="202">
        <f t="shared" si="56"/>
        <v>-1470.4308767640557</v>
      </c>
    </row>
    <row r="168" spans="1:19" x14ac:dyDescent="0.2">
      <c r="A168" s="159">
        <v>5</v>
      </c>
      <c r="B168" s="194">
        <f t="shared" si="49"/>
        <v>44682</v>
      </c>
      <c r="C168" s="214">
        <f t="shared" si="57"/>
        <v>44715</v>
      </c>
      <c r="D168" s="214">
        <f t="shared" si="57"/>
        <v>44735</v>
      </c>
      <c r="E168" s="222" t="s">
        <v>57</v>
      </c>
      <c r="F168" s="159">
        <v>9</v>
      </c>
      <c r="G168" s="196">
        <v>11</v>
      </c>
      <c r="H168" s="197">
        <f t="shared" si="50"/>
        <v>1393.5515841383033</v>
      </c>
      <c r="I168" s="197">
        <f t="shared" si="48"/>
        <v>1266.7977110484107</v>
      </c>
      <c r="J168" s="198">
        <f t="shared" si="51"/>
        <v>13934.774821532519</v>
      </c>
      <c r="K168" s="199">
        <f t="shared" si="45"/>
        <v>15329.067425521336</v>
      </c>
      <c r="L168" s="200">
        <f t="shared" si="59"/>
        <v>-1394.2926039888171</v>
      </c>
      <c r="M168" s="201">
        <f t="shared" si="52"/>
        <v>-76.138272775238747</v>
      </c>
      <c r="N168" s="202">
        <f t="shared" si="53"/>
        <v>-1470.4308767640557</v>
      </c>
      <c r="O168" s="201">
        <f t="shared" si="54"/>
        <v>0</v>
      </c>
      <c r="P168" s="201">
        <f t="shared" si="55"/>
        <v>0</v>
      </c>
      <c r="Q168" s="201">
        <v>0</v>
      </c>
      <c r="R168" s="202">
        <f t="shared" si="56"/>
        <v>-1470.4308767640557</v>
      </c>
    </row>
    <row r="169" spans="1:19" x14ac:dyDescent="0.2">
      <c r="A169" s="159">
        <v>6</v>
      </c>
      <c r="B169" s="194">
        <f t="shared" si="49"/>
        <v>44713</v>
      </c>
      <c r="C169" s="214">
        <f t="shared" si="57"/>
        <v>44747</v>
      </c>
      <c r="D169" s="214">
        <f t="shared" si="57"/>
        <v>44767</v>
      </c>
      <c r="E169" s="222" t="s">
        <v>57</v>
      </c>
      <c r="F169" s="159">
        <v>9</v>
      </c>
      <c r="G169" s="196">
        <v>14</v>
      </c>
      <c r="H169" s="197">
        <f t="shared" si="50"/>
        <v>1393.5515841383033</v>
      </c>
      <c r="I169" s="197">
        <f t="shared" si="48"/>
        <v>1266.7977110484107</v>
      </c>
      <c r="J169" s="198">
        <f t="shared" si="51"/>
        <v>17735.167954677752</v>
      </c>
      <c r="K169" s="199">
        <f t="shared" si="45"/>
        <v>19509.722177936244</v>
      </c>
      <c r="L169" s="204">
        <f t="shared" si="59"/>
        <v>-1774.5542232584921</v>
      </c>
      <c r="M169" s="201">
        <f t="shared" si="52"/>
        <v>-96.903256259394766</v>
      </c>
      <c r="N169" s="202">
        <f t="shared" si="53"/>
        <v>-1871.4574795178869</v>
      </c>
      <c r="O169" s="201">
        <f t="shared" si="54"/>
        <v>0</v>
      </c>
      <c r="P169" s="201">
        <f t="shared" si="55"/>
        <v>0</v>
      </c>
      <c r="Q169" s="201">
        <v>0</v>
      </c>
      <c r="R169" s="202">
        <f t="shared" si="56"/>
        <v>-1871.4574795178869</v>
      </c>
    </row>
    <row r="170" spans="1:19" x14ac:dyDescent="0.2">
      <c r="A170" s="125">
        <v>7</v>
      </c>
      <c r="B170" s="194">
        <f t="shared" si="49"/>
        <v>44743</v>
      </c>
      <c r="C170" s="214">
        <f t="shared" si="57"/>
        <v>44776</v>
      </c>
      <c r="D170" s="214">
        <f t="shared" si="57"/>
        <v>44796</v>
      </c>
      <c r="E170" s="222" t="s">
        <v>57</v>
      </c>
      <c r="F170" s="159">
        <v>9</v>
      </c>
      <c r="G170" s="196">
        <v>13</v>
      </c>
      <c r="H170" s="197">
        <f t="shared" si="50"/>
        <v>1393.5515841383033</v>
      </c>
      <c r="I170" s="197">
        <f t="shared" si="48"/>
        <v>1266.7977110484107</v>
      </c>
      <c r="J170" s="198">
        <f t="shared" si="51"/>
        <v>16468.370243629339</v>
      </c>
      <c r="K170" s="205">
        <f t="shared" si="45"/>
        <v>18116.170593797942</v>
      </c>
      <c r="L170" s="204">
        <f t="shared" si="59"/>
        <v>-1647.8003501686035</v>
      </c>
      <c r="M170" s="201">
        <f t="shared" si="52"/>
        <v>-89.981595098009421</v>
      </c>
      <c r="N170" s="202">
        <f t="shared" si="53"/>
        <v>-1737.7819452666129</v>
      </c>
      <c r="O170" s="201">
        <f t="shared" si="54"/>
        <v>0</v>
      </c>
      <c r="P170" s="201">
        <f t="shared" si="55"/>
        <v>0</v>
      </c>
      <c r="Q170" s="201">
        <v>0</v>
      </c>
      <c r="R170" s="202">
        <f t="shared" si="56"/>
        <v>-1737.7819452666129</v>
      </c>
    </row>
    <row r="171" spans="1:19" x14ac:dyDescent="0.2">
      <c r="A171" s="159">
        <v>8</v>
      </c>
      <c r="B171" s="194">
        <f t="shared" si="49"/>
        <v>44774</v>
      </c>
      <c r="C171" s="214">
        <f t="shared" si="57"/>
        <v>44809</v>
      </c>
      <c r="D171" s="214">
        <f t="shared" si="57"/>
        <v>44827</v>
      </c>
      <c r="E171" s="222" t="s">
        <v>57</v>
      </c>
      <c r="F171" s="125">
        <v>9</v>
      </c>
      <c r="G171" s="196">
        <v>13</v>
      </c>
      <c r="H171" s="197">
        <f t="shared" si="50"/>
        <v>1393.5515841383033</v>
      </c>
      <c r="I171" s="197">
        <f t="shared" si="48"/>
        <v>1266.7977110484107</v>
      </c>
      <c r="J171" s="198">
        <f t="shared" si="51"/>
        <v>16468.370243629339</v>
      </c>
      <c r="K171" s="205">
        <f t="shared" si="45"/>
        <v>18116.170593797942</v>
      </c>
      <c r="L171" s="204">
        <f t="shared" si="59"/>
        <v>-1647.8003501686035</v>
      </c>
      <c r="M171" s="201">
        <f t="shared" si="52"/>
        <v>-89.981595098009421</v>
      </c>
      <c r="N171" s="202">
        <f t="shared" si="53"/>
        <v>-1737.7819452666129</v>
      </c>
      <c r="O171" s="201">
        <f t="shared" si="54"/>
        <v>0</v>
      </c>
      <c r="P171" s="201">
        <f t="shared" si="55"/>
        <v>0</v>
      </c>
      <c r="Q171" s="201">
        <v>0</v>
      </c>
      <c r="R171" s="202">
        <f t="shared" si="56"/>
        <v>-1737.7819452666129</v>
      </c>
      <c r="S171" s="52"/>
    </row>
    <row r="172" spans="1:19" x14ac:dyDescent="0.2">
      <c r="A172" s="159">
        <v>9</v>
      </c>
      <c r="B172" s="194">
        <f t="shared" si="49"/>
        <v>44805</v>
      </c>
      <c r="C172" s="214">
        <f t="shared" ref="C172:D175" si="60">+C160</f>
        <v>44839</v>
      </c>
      <c r="D172" s="214">
        <f t="shared" si="60"/>
        <v>44859</v>
      </c>
      <c r="E172" s="222" t="s">
        <v>57</v>
      </c>
      <c r="F172" s="125">
        <v>9</v>
      </c>
      <c r="G172" s="196">
        <v>13</v>
      </c>
      <c r="H172" s="197">
        <f t="shared" si="50"/>
        <v>1393.5515841383033</v>
      </c>
      <c r="I172" s="197">
        <f t="shared" si="48"/>
        <v>1266.7977110484107</v>
      </c>
      <c r="J172" s="198">
        <f t="shared" si="51"/>
        <v>16468.370243629339</v>
      </c>
      <c r="K172" s="205">
        <f t="shared" si="45"/>
        <v>18116.170593797942</v>
      </c>
      <c r="L172" s="204">
        <f t="shared" si="59"/>
        <v>-1647.8003501686035</v>
      </c>
      <c r="M172" s="201">
        <f t="shared" si="52"/>
        <v>-89.981595098009421</v>
      </c>
      <c r="N172" s="202">
        <f t="shared" si="53"/>
        <v>-1737.7819452666129</v>
      </c>
      <c r="O172" s="201">
        <f t="shared" si="54"/>
        <v>0</v>
      </c>
      <c r="P172" s="201">
        <f t="shared" si="55"/>
        <v>0</v>
      </c>
      <c r="Q172" s="201">
        <v>0</v>
      </c>
      <c r="R172" s="202">
        <f t="shared" si="56"/>
        <v>-1737.7819452666129</v>
      </c>
    </row>
    <row r="173" spans="1:19" x14ac:dyDescent="0.2">
      <c r="A173" s="125">
        <v>10</v>
      </c>
      <c r="B173" s="194">
        <f t="shared" si="49"/>
        <v>44835</v>
      </c>
      <c r="C173" s="214">
        <f t="shared" si="60"/>
        <v>44868</v>
      </c>
      <c r="D173" s="214">
        <f t="shared" si="60"/>
        <v>44888</v>
      </c>
      <c r="E173" s="222" t="s">
        <v>57</v>
      </c>
      <c r="F173" s="125">
        <v>9</v>
      </c>
      <c r="G173" s="196">
        <v>10</v>
      </c>
      <c r="H173" s="197">
        <f t="shared" si="50"/>
        <v>1393.5515841383033</v>
      </c>
      <c r="I173" s="197">
        <f t="shared" si="48"/>
        <v>1266.7977110484107</v>
      </c>
      <c r="J173" s="198">
        <f t="shared" si="51"/>
        <v>12667.977110484107</v>
      </c>
      <c r="K173" s="205">
        <f t="shared" si="45"/>
        <v>13935.515841383032</v>
      </c>
      <c r="L173" s="204">
        <f t="shared" si="59"/>
        <v>-1267.5387308989248</v>
      </c>
      <c r="M173" s="201">
        <f t="shared" si="52"/>
        <v>-69.216611613853402</v>
      </c>
      <c r="N173" s="202">
        <f t="shared" si="53"/>
        <v>-1336.7553425127783</v>
      </c>
      <c r="O173" s="201">
        <f t="shared" si="54"/>
        <v>0</v>
      </c>
      <c r="P173" s="201">
        <f t="shared" si="55"/>
        <v>0</v>
      </c>
      <c r="Q173" s="201">
        <v>0</v>
      </c>
      <c r="R173" s="202">
        <f t="shared" si="56"/>
        <v>-1336.7553425127783</v>
      </c>
    </row>
    <row r="174" spans="1:19" x14ac:dyDescent="0.2">
      <c r="A174" s="159">
        <v>11</v>
      </c>
      <c r="B174" s="194">
        <f t="shared" si="49"/>
        <v>44866</v>
      </c>
      <c r="C174" s="214">
        <f t="shared" si="60"/>
        <v>44900</v>
      </c>
      <c r="D174" s="214">
        <f t="shared" si="60"/>
        <v>44918</v>
      </c>
      <c r="E174" s="222" t="s">
        <v>57</v>
      </c>
      <c r="F174" s="125">
        <v>9</v>
      </c>
      <c r="G174" s="196">
        <v>9</v>
      </c>
      <c r="H174" s="197">
        <f t="shared" si="50"/>
        <v>1393.5515841383033</v>
      </c>
      <c r="I174" s="197">
        <f t="shared" si="48"/>
        <v>1266.7977110484107</v>
      </c>
      <c r="J174" s="198">
        <f t="shared" si="51"/>
        <v>11401.179399435696</v>
      </c>
      <c r="K174" s="205">
        <f t="shared" si="45"/>
        <v>12541.96425724473</v>
      </c>
      <c r="L174" s="204">
        <f t="shared" si="59"/>
        <v>-1140.7848578090343</v>
      </c>
      <c r="M174" s="201">
        <f t="shared" si="52"/>
        <v>-62.294950452468072</v>
      </c>
      <c r="N174" s="202">
        <f t="shared" si="53"/>
        <v>-1203.0798082615024</v>
      </c>
      <c r="O174" s="201">
        <f t="shared" si="54"/>
        <v>0</v>
      </c>
      <c r="P174" s="201">
        <f t="shared" si="55"/>
        <v>0</v>
      </c>
      <c r="Q174" s="201">
        <v>0</v>
      </c>
      <c r="R174" s="202">
        <f t="shared" si="56"/>
        <v>-1203.0798082615024</v>
      </c>
    </row>
    <row r="175" spans="1:19" s="218" customFormat="1" x14ac:dyDescent="0.2">
      <c r="A175" s="159">
        <v>12</v>
      </c>
      <c r="B175" s="216">
        <f t="shared" si="49"/>
        <v>44896</v>
      </c>
      <c r="C175" s="214">
        <f t="shared" si="60"/>
        <v>44930</v>
      </c>
      <c r="D175" s="214">
        <f t="shared" si="60"/>
        <v>44950</v>
      </c>
      <c r="E175" s="223" t="s">
        <v>57</v>
      </c>
      <c r="F175" s="170">
        <v>9</v>
      </c>
      <c r="G175" s="196">
        <v>9</v>
      </c>
      <c r="H175" s="206">
        <f t="shared" si="50"/>
        <v>1393.5515841383033</v>
      </c>
      <c r="I175" s="206">
        <f t="shared" si="48"/>
        <v>1266.7977110484107</v>
      </c>
      <c r="J175" s="207">
        <f t="shared" si="51"/>
        <v>11401.179399435696</v>
      </c>
      <c r="K175" s="208">
        <f t="shared" si="45"/>
        <v>12541.96425724473</v>
      </c>
      <c r="L175" s="209">
        <f t="shared" si="59"/>
        <v>-1140.7848578090343</v>
      </c>
      <c r="M175" s="201">
        <f t="shared" si="52"/>
        <v>-62.294950452468072</v>
      </c>
      <c r="N175" s="202">
        <f t="shared" si="53"/>
        <v>-1203.0798082615024</v>
      </c>
      <c r="O175" s="201">
        <f t="shared" si="54"/>
        <v>0</v>
      </c>
      <c r="P175" s="201">
        <f t="shared" si="55"/>
        <v>0</v>
      </c>
      <c r="Q175" s="201">
        <v>0</v>
      </c>
      <c r="R175" s="202">
        <f t="shared" si="56"/>
        <v>-1203.0798082615024</v>
      </c>
    </row>
    <row r="176" spans="1:19" x14ac:dyDescent="0.2">
      <c r="A176" s="125">
        <v>1</v>
      </c>
      <c r="B176" s="194">
        <f t="shared" si="49"/>
        <v>44562</v>
      </c>
      <c r="C176" s="211">
        <f t="shared" ref="C176:D187" si="61">+C152</f>
        <v>44595</v>
      </c>
      <c r="D176" s="211">
        <f t="shared" si="61"/>
        <v>44615</v>
      </c>
      <c r="E176" s="221" t="s">
        <v>58</v>
      </c>
      <c r="F176" s="159">
        <v>9</v>
      </c>
      <c r="G176" s="196">
        <v>22</v>
      </c>
      <c r="H176" s="197">
        <f t="shared" si="50"/>
        <v>1393.5515841383033</v>
      </c>
      <c r="I176" s="197">
        <f t="shared" si="48"/>
        <v>1266.7977110484107</v>
      </c>
      <c r="J176" s="198">
        <f t="shared" si="51"/>
        <v>27869.549643065038</v>
      </c>
      <c r="K176" s="199">
        <f t="shared" si="45"/>
        <v>30658.134851042672</v>
      </c>
      <c r="L176" s="200">
        <f t="shared" si="59"/>
        <v>-2788.5852079776341</v>
      </c>
      <c r="M176" s="201">
        <f t="shared" si="52"/>
        <v>-152.27654555047749</v>
      </c>
      <c r="N176" s="202">
        <f t="shared" si="53"/>
        <v>-2940.8617535281114</v>
      </c>
      <c r="O176" s="201">
        <f t="shared" si="54"/>
        <v>0</v>
      </c>
      <c r="P176" s="201">
        <f t="shared" si="55"/>
        <v>0</v>
      </c>
      <c r="Q176" s="201">
        <v>0</v>
      </c>
      <c r="R176" s="202">
        <f t="shared" si="56"/>
        <v>-2940.8617535281114</v>
      </c>
    </row>
    <row r="177" spans="1:18" x14ac:dyDescent="0.2">
      <c r="A177" s="159">
        <v>2</v>
      </c>
      <c r="B177" s="194">
        <f t="shared" si="49"/>
        <v>44593</v>
      </c>
      <c r="C177" s="214">
        <f t="shared" si="61"/>
        <v>44623</v>
      </c>
      <c r="D177" s="214">
        <f t="shared" si="61"/>
        <v>44642</v>
      </c>
      <c r="E177" s="54" t="s">
        <v>58</v>
      </c>
      <c r="F177" s="159">
        <v>9</v>
      </c>
      <c r="G177" s="196">
        <v>22</v>
      </c>
      <c r="H177" s="197">
        <f t="shared" si="50"/>
        <v>1393.5515841383033</v>
      </c>
      <c r="I177" s="197">
        <f t="shared" si="48"/>
        <v>1266.7977110484107</v>
      </c>
      <c r="J177" s="198">
        <f t="shared" si="51"/>
        <v>27869.549643065038</v>
      </c>
      <c r="K177" s="199">
        <f t="shared" si="45"/>
        <v>30658.134851042672</v>
      </c>
      <c r="L177" s="200">
        <f t="shared" si="59"/>
        <v>-2788.5852079776341</v>
      </c>
      <c r="M177" s="201">
        <f t="shared" si="52"/>
        <v>-152.27654555047749</v>
      </c>
      <c r="N177" s="202">
        <f t="shared" si="53"/>
        <v>-2940.8617535281114</v>
      </c>
      <c r="O177" s="201">
        <f t="shared" si="54"/>
        <v>0</v>
      </c>
      <c r="P177" s="201">
        <f t="shared" si="55"/>
        <v>0</v>
      </c>
      <c r="Q177" s="201">
        <v>0</v>
      </c>
      <c r="R177" s="202">
        <f t="shared" si="56"/>
        <v>-2940.8617535281114</v>
      </c>
    </row>
    <row r="178" spans="1:18" x14ac:dyDescent="0.2">
      <c r="A178" s="159">
        <v>3</v>
      </c>
      <c r="B178" s="194">
        <f t="shared" si="49"/>
        <v>44621</v>
      </c>
      <c r="C178" s="214">
        <f t="shared" si="61"/>
        <v>44656</v>
      </c>
      <c r="D178" s="214">
        <f t="shared" si="61"/>
        <v>44676</v>
      </c>
      <c r="E178" s="54" t="s">
        <v>58</v>
      </c>
      <c r="F178" s="159">
        <v>9</v>
      </c>
      <c r="G178" s="196">
        <v>18</v>
      </c>
      <c r="H178" s="197">
        <f t="shared" si="50"/>
        <v>1393.5515841383033</v>
      </c>
      <c r="I178" s="197">
        <f t="shared" si="48"/>
        <v>1266.7977110484107</v>
      </c>
      <c r="J178" s="198">
        <f t="shared" si="51"/>
        <v>22802.358798871392</v>
      </c>
      <c r="K178" s="199">
        <f t="shared" si="45"/>
        <v>25083.92851448946</v>
      </c>
      <c r="L178" s="200">
        <f>+J178-K178</f>
        <v>-2281.5697156180686</v>
      </c>
      <c r="M178" s="201">
        <f t="shared" si="52"/>
        <v>-124.58990090493614</v>
      </c>
      <c r="N178" s="202">
        <f t="shared" si="53"/>
        <v>-2406.1596165230048</v>
      </c>
      <c r="O178" s="201">
        <f t="shared" si="54"/>
        <v>0</v>
      </c>
      <c r="P178" s="201">
        <f t="shared" si="55"/>
        <v>0</v>
      </c>
      <c r="Q178" s="201">
        <v>0</v>
      </c>
      <c r="R178" s="202">
        <f t="shared" si="56"/>
        <v>-2406.1596165230048</v>
      </c>
    </row>
    <row r="179" spans="1:18" x14ac:dyDescent="0.2">
      <c r="A179" s="125">
        <v>4</v>
      </c>
      <c r="B179" s="194">
        <f t="shared" si="49"/>
        <v>44652</v>
      </c>
      <c r="C179" s="214">
        <f t="shared" si="61"/>
        <v>44685</v>
      </c>
      <c r="D179" s="214">
        <f t="shared" si="61"/>
        <v>44705</v>
      </c>
      <c r="E179" s="54" t="s">
        <v>58</v>
      </c>
      <c r="F179" s="159">
        <v>9</v>
      </c>
      <c r="G179" s="196">
        <v>21</v>
      </c>
      <c r="H179" s="197">
        <f t="shared" si="50"/>
        <v>1393.5515841383033</v>
      </c>
      <c r="I179" s="197">
        <f t="shared" si="48"/>
        <v>1266.7977110484107</v>
      </c>
      <c r="J179" s="198">
        <f t="shared" si="51"/>
        <v>26602.751932016625</v>
      </c>
      <c r="K179" s="199">
        <f t="shared" si="45"/>
        <v>29264.58326690437</v>
      </c>
      <c r="L179" s="200">
        <f t="shared" ref="L179:L189" si="62">+J179-K179</f>
        <v>-2661.8313348877455</v>
      </c>
      <c r="M179" s="201">
        <f t="shared" si="52"/>
        <v>-145.35488438909215</v>
      </c>
      <c r="N179" s="202">
        <f t="shared" si="53"/>
        <v>-2807.1862192768376</v>
      </c>
      <c r="O179" s="201">
        <f t="shared" si="54"/>
        <v>0</v>
      </c>
      <c r="P179" s="201">
        <f t="shared" si="55"/>
        <v>0</v>
      </c>
      <c r="Q179" s="201">
        <v>0</v>
      </c>
      <c r="R179" s="202">
        <f t="shared" si="56"/>
        <v>-2807.1862192768376</v>
      </c>
    </row>
    <row r="180" spans="1:18" x14ac:dyDescent="0.2">
      <c r="A180" s="159">
        <v>5</v>
      </c>
      <c r="B180" s="194">
        <f t="shared" si="49"/>
        <v>44682</v>
      </c>
      <c r="C180" s="214">
        <f t="shared" si="61"/>
        <v>44715</v>
      </c>
      <c r="D180" s="214">
        <f t="shared" si="61"/>
        <v>44735</v>
      </c>
      <c r="E180" s="54" t="s">
        <v>58</v>
      </c>
      <c r="F180" s="159">
        <v>9</v>
      </c>
      <c r="G180" s="196">
        <v>31</v>
      </c>
      <c r="H180" s="197">
        <f t="shared" si="50"/>
        <v>1393.5515841383033</v>
      </c>
      <c r="I180" s="197">
        <f t="shared" ref="I180:I211" si="63">$J$3</f>
        <v>1266.7977110484107</v>
      </c>
      <c r="J180" s="198">
        <f t="shared" si="51"/>
        <v>39270.72904250073</v>
      </c>
      <c r="K180" s="199">
        <f t="shared" si="45"/>
        <v>43200.099108287402</v>
      </c>
      <c r="L180" s="200">
        <f t="shared" si="62"/>
        <v>-3929.3700657866721</v>
      </c>
      <c r="M180" s="201">
        <f t="shared" si="52"/>
        <v>-214.57149600294557</v>
      </c>
      <c r="N180" s="202">
        <f t="shared" si="53"/>
        <v>-4143.9415617896175</v>
      </c>
      <c r="O180" s="201">
        <f t="shared" si="54"/>
        <v>0</v>
      </c>
      <c r="P180" s="201">
        <f t="shared" si="55"/>
        <v>0</v>
      </c>
      <c r="Q180" s="201">
        <v>0</v>
      </c>
      <c r="R180" s="202">
        <f t="shared" si="56"/>
        <v>-4143.9415617896175</v>
      </c>
    </row>
    <row r="181" spans="1:18" x14ac:dyDescent="0.2">
      <c r="A181" s="159">
        <v>6</v>
      </c>
      <c r="B181" s="194">
        <f t="shared" si="49"/>
        <v>44713</v>
      </c>
      <c r="C181" s="214">
        <f t="shared" si="61"/>
        <v>44747</v>
      </c>
      <c r="D181" s="214">
        <f t="shared" si="61"/>
        <v>44767</v>
      </c>
      <c r="E181" s="54" t="s">
        <v>58</v>
      </c>
      <c r="F181" s="159">
        <v>9</v>
      </c>
      <c r="G181" s="196">
        <v>38</v>
      </c>
      <c r="H181" s="197">
        <f t="shared" si="50"/>
        <v>1393.5515841383033</v>
      </c>
      <c r="I181" s="197">
        <f t="shared" si="63"/>
        <v>1266.7977110484107</v>
      </c>
      <c r="J181" s="198">
        <f t="shared" si="51"/>
        <v>48138.31301983961</v>
      </c>
      <c r="K181" s="199">
        <f t="shared" si="45"/>
        <v>52954.960197255525</v>
      </c>
      <c r="L181" s="204">
        <f t="shared" si="62"/>
        <v>-4816.6471774159145</v>
      </c>
      <c r="M181" s="201">
        <f t="shared" si="52"/>
        <v>-263.02312413264298</v>
      </c>
      <c r="N181" s="202">
        <f t="shared" si="53"/>
        <v>-5079.6703015485573</v>
      </c>
      <c r="O181" s="201">
        <f t="shared" si="54"/>
        <v>0</v>
      </c>
      <c r="P181" s="201">
        <f t="shared" si="55"/>
        <v>0</v>
      </c>
      <c r="Q181" s="201">
        <v>0</v>
      </c>
      <c r="R181" s="202">
        <f t="shared" si="56"/>
        <v>-5079.6703015485573</v>
      </c>
    </row>
    <row r="182" spans="1:18" x14ac:dyDescent="0.2">
      <c r="A182" s="125">
        <v>7</v>
      </c>
      <c r="B182" s="194">
        <f t="shared" si="49"/>
        <v>44743</v>
      </c>
      <c r="C182" s="214">
        <f t="shared" si="61"/>
        <v>44776</v>
      </c>
      <c r="D182" s="214">
        <f t="shared" si="61"/>
        <v>44796</v>
      </c>
      <c r="E182" s="54" t="s">
        <v>58</v>
      </c>
      <c r="F182" s="159">
        <v>9</v>
      </c>
      <c r="G182" s="196">
        <v>40</v>
      </c>
      <c r="H182" s="197">
        <f t="shared" si="50"/>
        <v>1393.5515841383033</v>
      </c>
      <c r="I182" s="197">
        <f t="shared" si="63"/>
        <v>1266.7977110484107</v>
      </c>
      <c r="J182" s="198">
        <f t="shared" si="51"/>
        <v>50671.90844193643</v>
      </c>
      <c r="K182" s="205">
        <f t="shared" si="45"/>
        <v>55742.063365532129</v>
      </c>
      <c r="L182" s="204">
        <f t="shared" si="62"/>
        <v>-5070.1549235956991</v>
      </c>
      <c r="M182" s="201">
        <f t="shared" si="52"/>
        <v>-276.86644645541361</v>
      </c>
      <c r="N182" s="202">
        <f t="shared" si="53"/>
        <v>-5347.0213700511131</v>
      </c>
      <c r="O182" s="201">
        <f t="shared" si="54"/>
        <v>0</v>
      </c>
      <c r="P182" s="201">
        <f t="shared" si="55"/>
        <v>0</v>
      </c>
      <c r="Q182" s="201">
        <v>0</v>
      </c>
      <c r="R182" s="202">
        <f t="shared" si="56"/>
        <v>-5347.0213700511131</v>
      </c>
    </row>
    <row r="183" spans="1:18" x14ac:dyDescent="0.2">
      <c r="A183" s="159">
        <v>8</v>
      </c>
      <c r="B183" s="194">
        <f t="shared" si="49"/>
        <v>44774</v>
      </c>
      <c r="C183" s="214">
        <f t="shared" si="61"/>
        <v>44809</v>
      </c>
      <c r="D183" s="214">
        <f t="shared" si="61"/>
        <v>44827</v>
      </c>
      <c r="E183" s="54" t="s">
        <v>58</v>
      </c>
      <c r="F183" s="159">
        <v>9</v>
      </c>
      <c r="G183" s="196">
        <v>38</v>
      </c>
      <c r="H183" s="197">
        <f t="shared" si="50"/>
        <v>1393.5515841383033</v>
      </c>
      <c r="I183" s="197">
        <f t="shared" si="63"/>
        <v>1266.7977110484107</v>
      </c>
      <c r="J183" s="198">
        <f t="shared" si="51"/>
        <v>48138.31301983961</v>
      </c>
      <c r="K183" s="205">
        <f t="shared" si="45"/>
        <v>52954.960197255525</v>
      </c>
      <c r="L183" s="204">
        <f t="shared" si="62"/>
        <v>-4816.6471774159145</v>
      </c>
      <c r="M183" s="201">
        <f t="shared" si="52"/>
        <v>-263.02312413264298</v>
      </c>
      <c r="N183" s="202">
        <f t="shared" si="53"/>
        <v>-5079.6703015485573</v>
      </c>
      <c r="O183" s="201">
        <f t="shared" si="54"/>
        <v>0</v>
      </c>
      <c r="P183" s="201">
        <f t="shared" si="55"/>
        <v>0</v>
      </c>
      <c r="Q183" s="201">
        <v>0</v>
      </c>
      <c r="R183" s="202">
        <f t="shared" si="56"/>
        <v>-5079.6703015485573</v>
      </c>
    </row>
    <row r="184" spans="1:18" x14ac:dyDescent="0.2">
      <c r="A184" s="159">
        <v>9</v>
      </c>
      <c r="B184" s="194">
        <f t="shared" si="49"/>
        <v>44805</v>
      </c>
      <c r="C184" s="214">
        <f t="shared" si="61"/>
        <v>44839</v>
      </c>
      <c r="D184" s="214">
        <f t="shared" si="61"/>
        <v>44859</v>
      </c>
      <c r="E184" s="54" t="s">
        <v>58</v>
      </c>
      <c r="F184" s="159">
        <v>9</v>
      </c>
      <c r="G184" s="196">
        <v>35</v>
      </c>
      <c r="H184" s="197">
        <f t="shared" si="50"/>
        <v>1393.5515841383033</v>
      </c>
      <c r="I184" s="197">
        <f t="shared" si="63"/>
        <v>1266.7977110484107</v>
      </c>
      <c r="J184" s="198">
        <f t="shared" si="51"/>
        <v>44337.919886694377</v>
      </c>
      <c r="K184" s="205">
        <f t="shared" si="45"/>
        <v>48774.305444840611</v>
      </c>
      <c r="L184" s="204">
        <f t="shared" si="62"/>
        <v>-4436.385558146234</v>
      </c>
      <c r="M184" s="201">
        <f t="shared" si="52"/>
        <v>-242.25814064848691</v>
      </c>
      <c r="N184" s="202">
        <f t="shared" si="53"/>
        <v>-4678.6436987947209</v>
      </c>
      <c r="O184" s="201">
        <f t="shared" si="54"/>
        <v>0</v>
      </c>
      <c r="P184" s="201">
        <f t="shared" si="55"/>
        <v>0</v>
      </c>
      <c r="Q184" s="201">
        <v>0</v>
      </c>
      <c r="R184" s="202">
        <f t="shared" si="56"/>
        <v>-4678.6436987947209</v>
      </c>
    </row>
    <row r="185" spans="1:18" x14ac:dyDescent="0.2">
      <c r="A185" s="125">
        <v>10</v>
      </c>
      <c r="B185" s="194">
        <f t="shared" si="49"/>
        <v>44835</v>
      </c>
      <c r="C185" s="214">
        <f t="shared" si="61"/>
        <v>44868</v>
      </c>
      <c r="D185" s="214">
        <f t="shared" si="61"/>
        <v>44888</v>
      </c>
      <c r="E185" s="54" t="s">
        <v>58</v>
      </c>
      <c r="F185" s="159">
        <v>9</v>
      </c>
      <c r="G185" s="196">
        <v>23</v>
      </c>
      <c r="H185" s="197">
        <f t="shared" si="50"/>
        <v>1393.5515841383033</v>
      </c>
      <c r="I185" s="197">
        <f t="shared" si="63"/>
        <v>1266.7977110484107</v>
      </c>
      <c r="J185" s="198">
        <f t="shared" si="51"/>
        <v>29136.347354113448</v>
      </c>
      <c r="K185" s="205">
        <f t="shared" si="45"/>
        <v>32051.686435180975</v>
      </c>
      <c r="L185" s="204">
        <f t="shared" si="62"/>
        <v>-2915.3390810675264</v>
      </c>
      <c r="M185" s="201">
        <f t="shared" si="52"/>
        <v>-159.19820671186284</v>
      </c>
      <c r="N185" s="202">
        <f t="shared" si="53"/>
        <v>-3074.5372877793893</v>
      </c>
      <c r="O185" s="201">
        <f t="shared" si="54"/>
        <v>0</v>
      </c>
      <c r="P185" s="201">
        <f t="shared" si="55"/>
        <v>0</v>
      </c>
      <c r="Q185" s="201">
        <v>0</v>
      </c>
      <c r="R185" s="202">
        <f t="shared" si="56"/>
        <v>-3074.5372877793893</v>
      </c>
    </row>
    <row r="186" spans="1:18" x14ac:dyDescent="0.2">
      <c r="A186" s="159">
        <v>11</v>
      </c>
      <c r="B186" s="194">
        <f t="shared" si="49"/>
        <v>44866</v>
      </c>
      <c r="C186" s="214">
        <f t="shared" si="61"/>
        <v>44900</v>
      </c>
      <c r="D186" s="214">
        <f t="shared" si="61"/>
        <v>44918</v>
      </c>
      <c r="E186" s="54" t="s">
        <v>58</v>
      </c>
      <c r="F186" s="159">
        <v>9</v>
      </c>
      <c r="G186" s="196">
        <v>18</v>
      </c>
      <c r="H186" s="197">
        <f t="shared" si="50"/>
        <v>1393.5515841383033</v>
      </c>
      <c r="I186" s="197">
        <f t="shared" si="63"/>
        <v>1266.7977110484107</v>
      </c>
      <c r="J186" s="198">
        <f t="shared" si="51"/>
        <v>22802.358798871392</v>
      </c>
      <c r="K186" s="205">
        <f t="shared" si="45"/>
        <v>25083.92851448946</v>
      </c>
      <c r="L186" s="204">
        <f t="shared" si="62"/>
        <v>-2281.5697156180686</v>
      </c>
      <c r="M186" s="201">
        <f t="shared" si="52"/>
        <v>-124.58990090493614</v>
      </c>
      <c r="N186" s="202">
        <f t="shared" si="53"/>
        <v>-2406.1596165230048</v>
      </c>
      <c r="O186" s="201">
        <f t="shared" si="54"/>
        <v>0</v>
      </c>
      <c r="P186" s="201">
        <f t="shared" si="55"/>
        <v>0</v>
      </c>
      <c r="Q186" s="201">
        <v>0</v>
      </c>
      <c r="R186" s="202">
        <f t="shared" si="56"/>
        <v>-2406.1596165230048</v>
      </c>
    </row>
    <row r="187" spans="1:18" s="218" customFormat="1" x14ac:dyDescent="0.2">
      <c r="A187" s="159">
        <v>12</v>
      </c>
      <c r="B187" s="216">
        <f t="shared" si="49"/>
        <v>44896</v>
      </c>
      <c r="C187" s="214">
        <f t="shared" si="61"/>
        <v>44930</v>
      </c>
      <c r="D187" s="214">
        <f t="shared" si="61"/>
        <v>44950</v>
      </c>
      <c r="E187" s="217" t="s">
        <v>58</v>
      </c>
      <c r="F187" s="170">
        <v>9</v>
      </c>
      <c r="G187" s="196">
        <v>27</v>
      </c>
      <c r="H187" s="206">
        <f t="shared" si="50"/>
        <v>1393.5515841383033</v>
      </c>
      <c r="I187" s="206">
        <f t="shared" si="63"/>
        <v>1266.7977110484107</v>
      </c>
      <c r="J187" s="207">
        <f t="shared" si="51"/>
        <v>34203.538198307091</v>
      </c>
      <c r="K187" s="208">
        <f t="shared" si="45"/>
        <v>37625.892771734187</v>
      </c>
      <c r="L187" s="209">
        <f t="shared" si="62"/>
        <v>-3422.3545734270956</v>
      </c>
      <c r="M187" s="201">
        <f t="shared" si="52"/>
        <v>-186.88485135740422</v>
      </c>
      <c r="N187" s="202">
        <f t="shared" si="53"/>
        <v>-3609.2394247845</v>
      </c>
      <c r="O187" s="201">
        <f t="shared" si="54"/>
        <v>0</v>
      </c>
      <c r="P187" s="201">
        <f t="shared" si="55"/>
        <v>0</v>
      </c>
      <c r="Q187" s="201">
        <v>0</v>
      </c>
      <c r="R187" s="202">
        <f t="shared" si="56"/>
        <v>-3609.2394247845</v>
      </c>
    </row>
    <row r="188" spans="1:18" x14ac:dyDescent="0.2">
      <c r="A188" s="125">
        <v>1</v>
      </c>
      <c r="B188" s="194">
        <f t="shared" si="49"/>
        <v>44562</v>
      </c>
      <c r="C188" s="211">
        <f t="shared" ref="C188:D211" si="64">+C176</f>
        <v>44595</v>
      </c>
      <c r="D188" s="211">
        <f t="shared" si="64"/>
        <v>44615</v>
      </c>
      <c r="E188" s="195" t="s">
        <v>59</v>
      </c>
      <c r="F188" s="125">
        <v>9</v>
      </c>
      <c r="G188" s="196">
        <v>37</v>
      </c>
      <c r="H188" s="197">
        <f t="shared" si="50"/>
        <v>1393.5515841383033</v>
      </c>
      <c r="I188" s="197">
        <f t="shared" si="63"/>
        <v>1266.7977110484107</v>
      </c>
      <c r="J188" s="198">
        <f t="shared" si="51"/>
        <v>46871.515308791197</v>
      </c>
      <c r="K188" s="199">
        <f t="shared" si="45"/>
        <v>51561.408613117223</v>
      </c>
      <c r="L188" s="200">
        <f t="shared" si="62"/>
        <v>-4689.8933043260258</v>
      </c>
      <c r="M188" s="201">
        <f t="shared" si="52"/>
        <v>-256.1014629712576</v>
      </c>
      <c r="N188" s="202">
        <f t="shared" si="53"/>
        <v>-4945.994767297283</v>
      </c>
      <c r="O188" s="201">
        <f t="shared" si="54"/>
        <v>0</v>
      </c>
      <c r="P188" s="201">
        <f t="shared" si="55"/>
        <v>0</v>
      </c>
      <c r="Q188" s="201">
        <v>0</v>
      </c>
      <c r="R188" s="202">
        <f t="shared" si="56"/>
        <v>-4945.994767297283</v>
      </c>
    </row>
    <row r="189" spans="1:18" x14ac:dyDescent="0.2">
      <c r="A189" s="159">
        <v>2</v>
      </c>
      <c r="B189" s="194">
        <f t="shared" si="49"/>
        <v>44593</v>
      </c>
      <c r="C189" s="214">
        <f t="shared" si="64"/>
        <v>44623</v>
      </c>
      <c r="D189" s="214">
        <f t="shared" si="64"/>
        <v>44642</v>
      </c>
      <c r="E189" s="203" t="s">
        <v>59</v>
      </c>
      <c r="F189" s="159">
        <v>9</v>
      </c>
      <c r="G189" s="196">
        <v>37</v>
      </c>
      <c r="H189" s="197">
        <f t="shared" si="50"/>
        <v>1393.5515841383033</v>
      </c>
      <c r="I189" s="197">
        <f t="shared" si="63"/>
        <v>1266.7977110484107</v>
      </c>
      <c r="J189" s="198">
        <f t="shared" si="51"/>
        <v>46871.515308791197</v>
      </c>
      <c r="K189" s="199">
        <f t="shared" si="45"/>
        <v>51561.408613117223</v>
      </c>
      <c r="L189" s="200">
        <f t="shared" si="62"/>
        <v>-4689.8933043260258</v>
      </c>
      <c r="M189" s="201">
        <f t="shared" si="52"/>
        <v>-256.1014629712576</v>
      </c>
      <c r="N189" s="202">
        <f t="shared" si="53"/>
        <v>-4945.994767297283</v>
      </c>
      <c r="O189" s="201">
        <f t="shared" si="54"/>
        <v>0</v>
      </c>
      <c r="P189" s="201">
        <f t="shared" si="55"/>
        <v>0</v>
      </c>
      <c r="Q189" s="201">
        <v>0</v>
      </c>
      <c r="R189" s="202">
        <f t="shared" si="56"/>
        <v>-4945.994767297283</v>
      </c>
    </row>
    <row r="190" spans="1:18" x14ac:dyDescent="0.2">
      <c r="A190" s="159">
        <v>3</v>
      </c>
      <c r="B190" s="194">
        <f t="shared" si="49"/>
        <v>44621</v>
      </c>
      <c r="C190" s="214">
        <f t="shared" si="64"/>
        <v>44656</v>
      </c>
      <c r="D190" s="214">
        <f t="shared" si="64"/>
        <v>44676</v>
      </c>
      <c r="E190" s="203" t="s">
        <v>59</v>
      </c>
      <c r="F190" s="159">
        <v>9</v>
      </c>
      <c r="G190" s="196">
        <v>25</v>
      </c>
      <c r="H190" s="197">
        <f t="shared" si="50"/>
        <v>1393.5515841383033</v>
      </c>
      <c r="I190" s="197">
        <f t="shared" si="63"/>
        <v>1266.7977110484107</v>
      </c>
      <c r="J190" s="198">
        <f t="shared" si="51"/>
        <v>31669.942776210268</v>
      </c>
      <c r="K190" s="199">
        <f t="shared" si="45"/>
        <v>34838.789603457582</v>
      </c>
      <c r="L190" s="200">
        <f>+J190-K190</f>
        <v>-3168.8468272473146</v>
      </c>
      <c r="M190" s="201">
        <f t="shared" si="52"/>
        <v>-173.0415290346335</v>
      </c>
      <c r="N190" s="202">
        <f t="shared" si="53"/>
        <v>-3341.8883562819483</v>
      </c>
      <c r="O190" s="201">
        <f t="shared" si="54"/>
        <v>0</v>
      </c>
      <c r="P190" s="201">
        <f t="shared" si="55"/>
        <v>0</v>
      </c>
      <c r="Q190" s="201">
        <v>0</v>
      </c>
      <c r="R190" s="202">
        <f t="shared" si="56"/>
        <v>-3341.8883562819483</v>
      </c>
    </row>
    <row r="191" spans="1:18" x14ac:dyDescent="0.2">
      <c r="A191" s="125">
        <v>4</v>
      </c>
      <c r="B191" s="194">
        <f t="shared" si="49"/>
        <v>44652</v>
      </c>
      <c r="C191" s="214">
        <f t="shared" si="64"/>
        <v>44685</v>
      </c>
      <c r="D191" s="214">
        <f t="shared" si="64"/>
        <v>44705</v>
      </c>
      <c r="E191" s="54" t="s">
        <v>59</v>
      </c>
      <c r="F191" s="159">
        <v>9</v>
      </c>
      <c r="G191" s="196">
        <v>31</v>
      </c>
      <c r="H191" s="197">
        <f t="shared" si="50"/>
        <v>1393.5515841383033</v>
      </c>
      <c r="I191" s="197">
        <f t="shared" si="63"/>
        <v>1266.7977110484107</v>
      </c>
      <c r="J191" s="198">
        <f t="shared" si="51"/>
        <v>39270.72904250073</v>
      </c>
      <c r="K191" s="199">
        <f t="shared" si="45"/>
        <v>43200.099108287402</v>
      </c>
      <c r="L191" s="200">
        <f t="shared" ref="L191:L201" si="65">+J191-K191</f>
        <v>-3929.3700657866721</v>
      </c>
      <c r="M191" s="201">
        <f t="shared" si="52"/>
        <v>-214.57149600294557</v>
      </c>
      <c r="N191" s="202">
        <f t="shared" si="53"/>
        <v>-4143.9415617896175</v>
      </c>
      <c r="O191" s="201">
        <f t="shared" si="54"/>
        <v>0</v>
      </c>
      <c r="P191" s="201">
        <f t="shared" si="55"/>
        <v>0</v>
      </c>
      <c r="Q191" s="201">
        <v>0</v>
      </c>
      <c r="R191" s="202">
        <f t="shared" si="56"/>
        <v>-4143.9415617896175</v>
      </c>
    </row>
    <row r="192" spans="1:18" x14ac:dyDescent="0.2">
      <c r="A192" s="159">
        <v>5</v>
      </c>
      <c r="B192" s="194">
        <f t="shared" si="49"/>
        <v>44682</v>
      </c>
      <c r="C192" s="214">
        <f t="shared" si="64"/>
        <v>44715</v>
      </c>
      <c r="D192" s="214">
        <f t="shared" si="64"/>
        <v>44735</v>
      </c>
      <c r="E192" s="54" t="s">
        <v>59</v>
      </c>
      <c r="F192" s="159">
        <v>9</v>
      </c>
      <c r="G192" s="196">
        <v>40</v>
      </c>
      <c r="H192" s="197">
        <f t="shared" si="50"/>
        <v>1393.5515841383033</v>
      </c>
      <c r="I192" s="197">
        <f t="shared" si="63"/>
        <v>1266.7977110484107</v>
      </c>
      <c r="J192" s="198">
        <f t="shared" si="51"/>
        <v>50671.90844193643</v>
      </c>
      <c r="K192" s="199">
        <f t="shared" si="45"/>
        <v>55742.063365532129</v>
      </c>
      <c r="L192" s="200">
        <f t="shared" si="65"/>
        <v>-5070.1549235956991</v>
      </c>
      <c r="M192" s="201">
        <f t="shared" si="52"/>
        <v>-276.86644645541361</v>
      </c>
      <c r="N192" s="202">
        <f t="shared" si="53"/>
        <v>-5347.0213700511131</v>
      </c>
      <c r="O192" s="201">
        <f t="shared" si="54"/>
        <v>0</v>
      </c>
      <c r="P192" s="201">
        <f t="shared" si="55"/>
        <v>0</v>
      </c>
      <c r="Q192" s="201">
        <v>0</v>
      </c>
      <c r="R192" s="202">
        <f t="shared" si="56"/>
        <v>-5347.0213700511131</v>
      </c>
    </row>
    <row r="193" spans="1:18" x14ac:dyDescent="0.2">
      <c r="A193" s="159">
        <v>6</v>
      </c>
      <c r="B193" s="194">
        <f t="shared" si="49"/>
        <v>44713</v>
      </c>
      <c r="C193" s="214">
        <f t="shared" si="64"/>
        <v>44747</v>
      </c>
      <c r="D193" s="214">
        <f t="shared" si="64"/>
        <v>44767</v>
      </c>
      <c r="E193" s="54" t="s">
        <v>59</v>
      </c>
      <c r="F193" s="159">
        <v>9</v>
      </c>
      <c r="G193" s="196">
        <v>48</v>
      </c>
      <c r="H193" s="197">
        <f t="shared" si="50"/>
        <v>1393.5515841383033</v>
      </c>
      <c r="I193" s="197">
        <f t="shared" si="63"/>
        <v>1266.7977110484107</v>
      </c>
      <c r="J193" s="198">
        <f t="shared" si="51"/>
        <v>60806.290130323716</v>
      </c>
      <c r="K193" s="199">
        <f t="shared" si="45"/>
        <v>66890.476038638561</v>
      </c>
      <c r="L193" s="204">
        <f t="shared" si="65"/>
        <v>-6084.1859083148447</v>
      </c>
      <c r="M193" s="201">
        <f t="shared" si="52"/>
        <v>-332.23973574649636</v>
      </c>
      <c r="N193" s="202">
        <f t="shared" si="53"/>
        <v>-6416.4256440613408</v>
      </c>
      <c r="O193" s="201">
        <f t="shared" si="54"/>
        <v>0</v>
      </c>
      <c r="P193" s="201">
        <f t="shared" si="55"/>
        <v>0</v>
      </c>
      <c r="Q193" s="201">
        <v>0</v>
      </c>
      <c r="R193" s="202">
        <f t="shared" si="56"/>
        <v>-6416.4256440613408</v>
      </c>
    </row>
    <row r="194" spans="1:18" x14ac:dyDescent="0.2">
      <c r="A194" s="125">
        <v>7</v>
      </c>
      <c r="B194" s="194">
        <f t="shared" si="49"/>
        <v>44743</v>
      </c>
      <c r="C194" s="214">
        <f t="shared" si="64"/>
        <v>44776</v>
      </c>
      <c r="D194" s="214">
        <f t="shared" si="64"/>
        <v>44796</v>
      </c>
      <c r="E194" s="54" t="s">
        <v>59</v>
      </c>
      <c r="F194" s="159">
        <v>9</v>
      </c>
      <c r="G194" s="196">
        <v>52</v>
      </c>
      <c r="H194" s="197">
        <f t="shared" si="50"/>
        <v>1393.5515841383033</v>
      </c>
      <c r="I194" s="197">
        <f t="shared" si="63"/>
        <v>1266.7977110484107</v>
      </c>
      <c r="J194" s="198">
        <f t="shared" si="51"/>
        <v>65873.480974517355</v>
      </c>
      <c r="K194" s="205">
        <f t="shared" si="45"/>
        <v>72464.682375191769</v>
      </c>
      <c r="L194" s="204">
        <f t="shared" si="65"/>
        <v>-6591.2014006744139</v>
      </c>
      <c r="M194" s="201">
        <f t="shared" si="52"/>
        <v>-359.92638039203769</v>
      </c>
      <c r="N194" s="202">
        <f t="shared" si="53"/>
        <v>-6951.1277810664515</v>
      </c>
      <c r="O194" s="201">
        <f t="shared" si="54"/>
        <v>0</v>
      </c>
      <c r="P194" s="201">
        <f t="shared" si="55"/>
        <v>0</v>
      </c>
      <c r="Q194" s="201">
        <v>0</v>
      </c>
      <c r="R194" s="202">
        <f t="shared" si="56"/>
        <v>-6951.1277810664515</v>
      </c>
    </row>
    <row r="195" spans="1:18" x14ac:dyDescent="0.2">
      <c r="A195" s="159">
        <v>8</v>
      </c>
      <c r="B195" s="194">
        <f t="shared" si="49"/>
        <v>44774</v>
      </c>
      <c r="C195" s="214">
        <f t="shared" si="64"/>
        <v>44809</v>
      </c>
      <c r="D195" s="214">
        <f t="shared" si="64"/>
        <v>44827</v>
      </c>
      <c r="E195" s="54" t="s">
        <v>59</v>
      </c>
      <c r="F195" s="159">
        <v>9</v>
      </c>
      <c r="G195" s="196">
        <v>50</v>
      </c>
      <c r="H195" s="197">
        <f t="shared" si="50"/>
        <v>1393.5515841383033</v>
      </c>
      <c r="I195" s="197">
        <f t="shared" si="63"/>
        <v>1266.7977110484107</v>
      </c>
      <c r="J195" s="198">
        <f t="shared" si="51"/>
        <v>63339.885552420536</v>
      </c>
      <c r="K195" s="205">
        <f t="shared" si="45"/>
        <v>69677.579206915165</v>
      </c>
      <c r="L195" s="204">
        <f t="shared" si="65"/>
        <v>-6337.6936544946293</v>
      </c>
      <c r="M195" s="201">
        <f t="shared" si="52"/>
        <v>-346.083058069267</v>
      </c>
      <c r="N195" s="202">
        <f t="shared" si="53"/>
        <v>-6683.7767125638966</v>
      </c>
      <c r="O195" s="201">
        <f t="shared" si="54"/>
        <v>0</v>
      </c>
      <c r="P195" s="201">
        <f t="shared" si="55"/>
        <v>0</v>
      </c>
      <c r="Q195" s="201">
        <v>0</v>
      </c>
      <c r="R195" s="202">
        <f t="shared" si="56"/>
        <v>-6683.7767125638966</v>
      </c>
    </row>
    <row r="196" spans="1:18" x14ac:dyDescent="0.2">
      <c r="A196" s="159">
        <v>9</v>
      </c>
      <c r="B196" s="194">
        <f t="shared" si="49"/>
        <v>44805</v>
      </c>
      <c r="C196" s="214">
        <f t="shared" si="64"/>
        <v>44839</v>
      </c>
      <c r="D196" s="214">
        <f t="shared" si="64"/>
        <v>44859</v>
      </c>
      <c r="E196" s="54" t="s">
        <v>59</v>
      </c>
      <c r="F196" s="159">
        <v>9</v>
      </c>
      <c r="G196" s="196">
        <v>47</v>
      </c>
      <c r="H196" s="197">
        <f t="shared" si="50"/>
        <v>1393.5515841383033</v>
      </c>
      <c r="I196" s="197">
        <f t="shared" si="63"/>
        <v>1266.7977110484107</v>
      </c>
      <c r="J196" s="198">
        <f t="shared" si="51"/>
        <v>59539.492419275302</v>
      </c>
      <c r="K196" s="205">
        <f t="shared" si="45"/>
        <v>65496.924454500251</v>
      </c>
      <c r="L196" s="204">
        <f t="shared" si="65"/>
        <v>-5957.4320352249488</v>
      </c>
      <c r="M196" s="201">
        <f t="shared" si="52"/>
        <v>-325.31807458511105</v>
      </c>
      <c r="N196" s="202">
        <f t="shared" si="53"/>
        <v>-6282.7501098100602</v>
      </c>
      <c r="O196" s="201">
        <f t="shared" si="54"/>
        <v>0</v>
      </c>
      <c r="P196" s="201">
        <f t="shared" si="55"/>
        <v>0</v>
      </c>
      <c r="Q196" s="201">
        <v>0</v>
      </c>
      <c r="R196" s="202">
        <f t="shared" si="56"/>
        <v>-6282.7501098100602</v>
      </c>
    </row>
    <row r="197" spans="1:18" x14ac:dyDescent="0.2">
      <c r="A197" s="125">
        <v>10</v>
      </c>
      <c r="B197" s="194">
        <f t="shared" si="49"/>
        <v>44835</v>
      </c>
      <c r="C197" s="214">
        <f t="shared" si="64"/>
        <v>44868</v>
      </c>
      <c r="D197" s="214">
        <f t="shared" si="64"/>
        <v>44888</v>
      </c>
      <c r="E197" s="54" t="s">
        <v>59</v>
      </c>
      <c r="F197" s="159">
        <v>9</v>
      </c>
      <c r="G197" s="196">
        <v>35</v>
      </c>
      <c r="H197" s="197">
        <f t="shared" si="50"/>
        <v>1393.5515841383033</v>
      </c>
      <c r="I197" s="197">
        <f t="shared" si="63"/>
        <v>1266.7977110484107</v>
      </c>
      <c r="J197" s="198">
        <f t="shared" si="51"/>
        <v>44337.919886694377</v>
      </c>
      <c r="K197" s="205">
        <f t="shared" si="45"/>
        <v>48774.305444840611</v>
      </c>
      <c r="L197" s="204">
        <f t="shared" si="65"/>
        <v>-4436.385558146234</v>
      </c>
      <c r="M197" s="201">
        <f t="shared" si="52"/>
        <v>-242.25814064848691</v>
      </c>
      <c r="N197" s="202">
        <f t="shared" si="53"/>
        <v>-4678.6436987947209</v>
      </c>
      <c r="O197" s="201">
        <f t="shared" si="54"/>
        <v>0</v>
      </c>
      <c r="P197" s="201">
        <f t="shared" si="55"/>
        <v>0</v>
      </c>
      <c r="Q197" s="201">
        <v>0</v>
      </c>
      <c r="R197" s="202">
        <f t="shared" si="56"/>
        <v>-4678.6436987947209</v>
      </c>
    </row>
    <row r="198" spans="1:18" x14ac:dyDescent="0.2">
      <c r="A198" s="159">
        <v>11</v>
      </c>
      <c r="B198" s="194">
        <f t="shared" si="49"/>
        <v>44866</v>
      </c>
      <c r="C198" s="214">
        <f t="shared" si="64"/>
        <v>44900</v>
      </c>
      <c r="D198" s="214">
        <f t="shared" si="64"/>
        <v>44918</v>
      </c>
      <c r="E198" s="54" t="s">
        <v>59</v>
      </c>
      <c r="F198" s="159">
        <v>9</v>
      </c>
      <c r="G198" s="196">
        <v>34</v>
      </c>
      <c r="H198" s="197">
        <f t="shared" si="50"/>
        <v>1393.5515841383033</v>
      </c>
      <c r="I198" s="197">
        <f t="shared" si="63"/>
        <v>1266.7977110484107</v>
      </c>
      <c r="J198" s="198">
        <f t="shared" si="51"/>
        <v>43071.122175645964</v>
      </c>
      <c r="K198" s="205">
        <f t="shared" ref="K198:K209" si="66">+$G198*H198</f>
        <v>47380.753860702309</v>
      </c>
      <c r="L198" s="204">
        <f t="shared" si="65"/>
        <v>-4309.6316850563453</v>
      </c>
      <c r="M198" s="201">
        <f t="shared" si="52"/>
        <v>-235.3364794871016</v>
      </c>
      <c r="N198" s="202">
        <f t="shared" si="53"/>
        <v>-4544.9681645434466</v>
      </c>
      <c r="O198" s="201">
        <f t="shared" si="54"/>
        <v>0</v>
      </c>
      <c r="P198" s="201">
        <f t="shared" si="55"/>
        <v>0</v>
      </c>
      <c r="Q198" s="201">
        <v>0</v>
      </c>
      <c r="R198" s="202">
        <f t="shared" si="56"/>
        <v>-4544.9681645434466</v>
      </c>
    </row>
    <row r="199" spans="1:18" s="218" customFormat="1" x14ac:dyDescent="0.2">
      <c r="A199" s="159">
        <v>12</v>
      </c>
      <c r="B199" s="216">
        <f t="shared" si="49"/>
        <v>44896</v>
      </c>
      <c r="C199" s="214">
        <f t="shared" si="64"/>
        <v>44930</v>
      </c>
      <c r="D199" s="214">
        <f t="shared" si="64"/>
        <v>44950</v>
      </c>
      <c r="E199" s="217" t="s">
        <v>59</v>
      </c>
      <c r="F199" s="170">
        <v>9</v>
      </c>
      <c r="G199" s="196">
        <v>34</v>
      </c>
      <c r="H199" s="206">
        <f t="shared" si="50"/>
        <v>1393.5515841383033</v>
      </c>
      <c r="I199" s="206">
        <f t="shared" si="63"/>
        <v>1266.7977110484107</v>
      </c>
      <c r="J199" s="207">
        <f t="shared" si="51"/>
        <v>43071.122175645964</v>
      </c>
      <c r="K199" s="208">
        <f t="shared" si="66"/>
        <v>47380.753860702309</v>
      </c>
      <c r="L199" s="209">
        <f t="shared" si="65"/>
        <v>-4309.6316850563453</v>
      </c>
      <c r="M199" s="201">
        <f t="shared" si="52"/>
        <v>-235.3364794871016</v>
      </c>
      <c r="N199" s="202">
        <f t="shared" si="53"/>
        <v>-4544.9681645434466</v>
      </c>
      <c r="O199" s="201">
        <f t="shared" si="54"/>
        <v>0</v>
      </c>
      <c r="P199" s="201">
        <f t="shared" si="55"/>
        <v>0</v>
      </c>
      <c r="Q199" s="201">
        <v>0</v>
      </c>
      <c r="R199" s="202">
        <f t="shared" si="56"/>
        <v>-4544.9681645434466</v>
      </c>
    </row>
    <row r="200" spans="1:18" x14ac:dyDescent="0.2">
      <c r="A200" s="125">
        <v>1</v>
      </c>
      <c r="B200" s="194">
        <f t="shared" si="49"/>
        <v>44562</v>
      </c>
      <c r="C200" s="211">
        <f t="shared" si="64"/>
        <v>44595</v>
      </c>
      <c r="D200" s="211">
        <f t="shared" si="64"/>
        <v>44615</v>
      </c>
      <c r="E200" s="195" t="s">
        <v>17</v>
      </c>
      <c r="F200" s="125">
        <v>9</v>
      </c>
      <c r="G200" s="196">
        <v>106</v>
      </c>
      <c r="H200" s="197">
        <f t="shared" si="50"/>
        <v>1393.5515841383033</v>
      </c>
      <c r="I200" s="197">
        <f t="shared" si="63"/>
        <v>1266.7977110484107</v>
      </c>
      <c r="J200" s="198">
        <f t="shared" si="51"/>
        <v>134280.55737113155</v>
      </c>
      <c r="K200" s="199">
        <f t="shared" si="66"/>
        <v>147716.46791866014</v>
      </c>
      <c r="L200" s="200">
        <f t="shared" si="65"/>
        <v>-13435.910547528591</v>
      </c>
      <c r="M200" s="201">
        <f t="shared" si="52"/>
        <v>-733.69608310684612</v>
      </c>
      <c r="N200" s="202">
        <f t="shared" si="53"/>
        <v>-14169.606630635437</v>
      </c>
      <c r="O200" s="201">
        <f t="shared" si="54"/>
        <v>0</v>
      </c>
      <c r="P200" s="201">
        <f t="shared" si="55"/>
        <v>0</v>
      </c>
      <c r="Q200" s="201">
        <v>0</v>
      </c>
      <c r="R200" s="202">
        <f t="shared" si="56"/>
        <v>-14169.606630635437</v>
      </c>
    </row>
    <row r="201" spans="1:18" x14ac:dyDescent="0.2">
      <c r="A201" s="159">
        <v>2</v>
      </c>
      <c r="B201" s="194">
        <f t="shared" si="49"/>
        <v>44593</v>
      </c>
      <c r="C201" s="214">
        <f t="shared" si="64"/>
        <v>44623</v>
      </c>
      <c r="D201" s="214">
        <f t="shared" si="64"/>
        <v>44642</v>
      </c>
      <c r="E201" s="203" t="s">
        <v>17</v>
      </c>
      <c r="F201" s="159">
        <v>9</v>
      </c>
      <c r="G201" s="196">
        <v>101</v>
      </c>
      <c r="H201" s="197">
        <f t="shared" si="50"/>
        <v>1393.5515841383033</v>
      </c>
      <c r="I201" s="197">
        <f t="shared" si="63"/>
        <v>1266.7977110484107</v>
      </c>
      <c r="J201" s="198">
        <f t="shared" si="51"/>
        <v>127946.56881588949</v>
      </c>
      <c r="K201" s="199">
        <f t="shared" si="66"/>
        <v>140748.70999796863</v>
      </c>
      <c r="L201" s="200">
        <f t="shared" si="65"/>
        <v>-12802.14118207914</v>
      </c>
      <c r="M201" s="201">
        <f t="shared" si="52"/>
        <v>-699.08777729991937</v>
      </c>
      <c r="N201" s="202">
        <f t="shared" si="53"/>
        <v>-13501.228959379059</v>
      </c>
      <c r="O201" s="201">
        <f t="shared" si="54"/>
        <v>0</v>
      </c>
      <c r="P201" s="201">
        <f t="shared" si="55"/>
        <v>0</v>
      </c>
      <c r="Q201" s="201">
        <v>0</v>
      </c>
      <c r="R201" s="202">
        <f t="shared" si="56"/>
        <v>-13501.228959379059</v>
      </c>
    </row>
    <row r="202" spans="1:18" x14ac:dyDescent="0.2">
      <c r="A202" s="159">
        <v>3</v>
      </c>
      <c r="B202" s="194">
        <f t="shared" si="49"/>
        <v>44621</v>
      </c>
      <c r="C202" s="214">
        <f t="shared" si="64"/>
        <v>44656</v>
      </c>
      <c r="D202" s="214">
        <f t="shared" si="64"/>
        <v>44676</v>
      </c>
      <c r="E202" s="203" t="s">
        <v>17</v>
      </c>
      <c r="F202" s="159">
        <v>9</v>
      </c>
      <c r="G202" s="196">
        <v>97</v>
      </c>
      <c r="H202" s="197">
        <f t="shared" si="50"/>
        <v>1393.5515841383033</v>
      </c>
      <c r="I202" s="197">
        <f t="shared" si="63"/>
        <v>1266.7977110484107</v>
      </c>
      <c r="J202" s="198">
        <f t="shared" si="51"/>
        <v>122879.37797169584</v>
      </c>
      <c r="K202" s="199">
        <f t="shared" si="66"/>
        <v>135174.50366141542</v>
      </c>
      <c r="L202" s="200">
        <f>+J202-K202</f>
        <v>-12295.125689719585</v>
      </c>
      <c r="M202" s="201">
        <f t="shared" si="52"/>
        <v>-671.4011326543781</v>
      </c>
      <c r="N202" s="202">
        <f t="shared" si="53"/>
        <v>-12966.526822373964</v>
      </c>
      <c r="O202" s="201">
        <f t="shared" si="54"/>
        <v>0</v>
      </c>
      <c r="P202" s="201">
        <f t="shared" si="55"/>
        <v>0</v>
      </c>
      <c r="Q202" s="201">
        <v>0</v>
      </c>
      <c r="R202" s="202">
        <f t="shared" si="56"/>
        <v>-12966.526822373964</v>
      </c>
    </row>
    <row r="203" spans="1:18" x14ac:dyDescent="0.2">
      <c r="A203" s="125">
        <v>4</v>
      </c>
      <c r="B203" s="194">
        <f t="shared" si="49"/>
        <v>44652</v>
      </c>
      <c r="C203" s="214">
        <f t="shared" si="64"/>
        <v>44685</v>
      </c>
      <c r="D203" s="214">
        <f t="shared" si="64"/>
        <v>44705</v>
      </c>
      <c r="E203" s="203" t="s">
        <v>17</v>
      </c>
      <c r="F203" s="159">
        <v>9</v>
      </c>
      <c r="G203" s="196">
        <v>98</v>
      </c>
      <c r="H203" s="197">
        <f t="shared" si="50"/>
        <v>1393.5515841383033</v>
      </c>
      <c r="I203" s="197">
        <f t="shared" si="63"/>
        <v>1266.7977110484107</v>
      </c>
      <c r="J203" s="198">
        <f t="shared" si="51"/>
        <v>124146.17568274426</v>
      </c>
      <c r="K203" s="199">
        <f t="shared" si="66"/>
        <v>136568.05524555373</v>
      </c>
      <c r="L203" s="200">
        <f t="shared" ref="L203:L211" si="67">+J203-K203</f>
        <v>-12421.879562809467</v>
      </c>
      <c r="M203" s="201">
        <f t="shared" si="52"/>
        <v>-678.32279381576336</v>
      </c>
      <c r="N203" s="202">
        <f t="shared" si="53"/>
        <v>-13100.20235662523</v>
      </c>
      <c r="O203" s="201">
        <f t="shared" si="54"/>
        <v>0</v>
      </c>
      <c r="P203" s="201">
        <f t="shared" si="55"/>
        <v>0</v>
      </c>
      <c r="Q203" s="201">
        <v>0</v>
      </c>
      <c r="R203" s="202">
        <f t="shared" si="56"/>
        <v>-13100.20235662523</v>
      </c>
    </row>
    <row r="204" spans="1:18" x14ac:dyDescent="0.2">
      <c r="A204" s="159">
        <v>5</v>
      </c>
      <c r="B204" s="194">
        <f t="shared" si="49"/>
        <v>44682</v>
      </c>
      <c r="C204" s="214">
        <f t="shared" si="64"/>
        <v>44715</v>
      </c>
      <c r="D204" s="214">
        <f t="shared" si="64"/>
        <v>44735</v>
      </c>
      <c r="E204" s="54" t="s">
        <v>17</v>
      </c>
      <c r="F204" s="159">
        <v>9</v>
      </c>
      <c r="G204" s="196">
        <v>104</v>
      </c>
      <c r="H204" s="197">
        <f t="shared" si="50"/>
        <v>1393.5515841383033</v>
      </c>
      <c r="I204" s="197">
        <f t="shared" si="63"/>
        <v>1266.7977110484107</v>
      </c>
      <c r="J204" s="198">
        <f t="shared" si="51"/>
        <v>131746.96194903471</v>
      </c>
      <c r="K204" s="199">
        <f t="shared" si="66"/>
        <v>144929.36475038354</v>
      </c>
      <c r="L204" s="200">
        <f t="shared" si="67"/>
        <v>-13182.402801348828</v>
      </c>
      <c r="M204" s="201">
        <f t="shared" si="52"/>
        <v>-719.85276078407537</v>
      </c>
      <c r="N204" s="202">
        <f t="shared" si="53"/>
        <v>-13902.255562132903</v>
      </c>
      <c r="O204" s="201">
        <f t="shared" si="54"/>
        <v>0</v>
      </c>
      <c r="P204" s="201">
        <f t="shared" si="55"/>
        <v>0</v>
      </c>
      <c r="Q204" s="201">
        <v>0</v>
      </c>
      <c r="R204" s="202">
        <f t="shared" si="56"/>
        <v>-13902.255562132903</v>
      </c>
    </row>
    <row r="205" spans="1:18" x14ac:dyDescent="0.2">
      <c r="A205" s="159">
        <v>6</v>
      </c>
      <c r="B205" s="194">
        <f t="shared" si="49"/>
        <v>44713</v>
      </c>
      <c r="C205" s="214">
        <f t="shared" si="64"/>
        <v>44747</v>
      </c>
      <c r="D205" s="214">
        <f t="shared" si="64"/>
        <v>44767</v>
      </c>
      <c r="E205" s="54" t="s">
        <v>17</v>
      </c>
      <c r="F205" s="159">
        <v>9</v>
      </c>
      <c r="G205" s="196">
        <v>115</v>
      </c>
      <c r="H205" s="197">
        <f t="shared" si="50"/>
        <v>1393.5515841383033</v>
      </c>
      <c r="I205" s="197">
        <f t="shared" si="63"/>
        <v>1266.7977110484107</v>
      </c>
      <c r="J205" s="198">
        <f t="shared" si="51"/>
        <v>145681.73677056722</v>
      </c>
      <c r="K205" s="199">
        <f t="shared" si="66"/>
        <v>160258.43217590486</v>
      </c>
      <c r="L205" s="204">
        <f t="shared" si="67"/>
        <v>-14576.695405337639</v>
      </c>
      <c r="M205" s="201">
        <f t="shared" si="52"/>
        <v>-795.99103355931425</v>
      </c>
      <c r="N205" s="202">
        <f t="shared" si="53"/>
        <v>-15372.686438896953</v>
      </c>
      <c r="O205" s="201">
        <f t="shared" si="54"/>
        <v>0</v>
      </c>
      <c r="P205" s="201">
        <f t="shared" si="55"/>
        <v>0</v>
      </c>
      <c r="Q205" s="201">
        <v>0</v>
      </c>
      <c r="R205" s="202">
        <f t="shared" si="56"/>
        <v>-15372.686438896953</v>
      </c>
    </row>
    <row r="206" spans="1:18" x14ac:dyDescent="0.2">
      <c r="A206" s="125">
        <v>7</v>
      </c>
      <c r="B206" s="194">
        <f t="shared" si="49"/>
        <v>44743</v>
      </c>
      <c r="C206" s="214">
        <f t="shared" si="64"/>
        <v>44776</v>
      </c>
      <c r="D206" s="214">
        <f t="shared" si="64"/>
        <v>44796</v>
      </c>
      <c r="E206" s="54" t="s">
        <v>17</v>
      </c>
      <c r="F206" s="159">
        <v>9</v>
      </c>
      <c r="G206" s="196">
        <v>42</v>
      </c>
      <c r="H206" s="197">
        <f t="shared" si="50"/>
        <v>1393.5515841383033</v>
      </c>
      <c r="I206" s="197">
        <f t="shared" si="63"/>
        <v>1266.7977110484107</v>
      </c>
      <c r="J206" s="198">
        <f t="shared" si="51"/>
        <v>53205.50386403325</v>
      </c>
      <c r="K206" s="205">
        <f t="shared" si="66"/>
        <v>58529.16653380874</v>
      </c>
      <c r="L206" s="204">
        <f t="shared" si="67"/>
        <v>-5323.6626697754909</v>
      </c>
      <c r="M206" s="201">
        <f t="shared" si="52"/>
        <v>-290.7097687781843</v>
      </c>
      <c r="N206" s="202">
        <f t="shared" si="53"/>
        <v>-5614.3724385536752</v>
      </c>
      <c r="O206" s="201">
        <f t="shared" si="54"/>
        <v>0</v>
      </c>
      <c r="P206" s="201">
        <f t="shared" si="55"/>
        <v>0</v>
      </c>
      <c r="Q206" s="201">
        <v>0</v>
      </c>
      <c r="R206" s="202">
        <f t="shared" si="56"/>
        <v>-5614.3724385536752</v>
      </c>
    </row>
    <row r="207" spans="1:18" x14ac:dyDescent="0.2">
      <c r="A207" s="159">
        <v>8</v>
      </c>
      <c r="B207" s="194">
        <f t="shared" si="49"/>
        <v>44774</v>
      </c>
      <c r="C207" s="214">
        <f t="shared" si="64"/>
        <v>44809</v>
      </c>
      <c r="D207" s="214">
        <f t="shared" si="64"/>
        <v>44827</v>
      </c>
      <c r="E207" s="54" t="s">
        <v>17</v>
      </c>
      <c r="F207" s="159">
        <v>9</v>
      </c>
      <c r="G207" s="196">
        <v>41</v>
      </c>
      <c r="H207" s="197">
        <f t="shared" si="50"/>
        <v>1393.5515841383033</v>
      </c>
      <c r="I207" s="197">
        <f t="shared" si="63"/>
        <v>1266.7977110484107</v>
      </c>
      <c r="J207" s="198">
        <f t="shared" si="51"/>
        <v>51938.706152984843</v>
      </c>
      <c r="K207" s="205">
        <f t="shared" si="66"/>
        <v>57135.614949670431</v>
      </c>
      <c r="L207" s="204">
        <f t="shared" si="67"/>
        <v>-5196.9087966855877</v>
      </c>
      <c r="M207" s="201">
        <f t="shared" si="52"/>
        <v>-283.78810761679892</v>
      </c>
      <c r="N207" s="202">
        <f t="shared" si="53"/>
        <v>-5480.6969043023864</v>
      </c>
      <c r="O207" s="201">
        <f t="shared" si="54"/>
        <v>0</v>
      </c>
      <c r="P207" s="201">
        <f t="shared" si="55"/>
        <v>0</v>
      </c>
      <c r="Q207" s="201">
        <v>0</v>
      </c>
      <c r="R207" s="202">
        <f t="shared" si="56"/>
        <v>-5480.6969043023864</v>
      </c>
    </row>
    <row r="208" spans="1:18" x14ac:dyDescent="0.2">
      <c r="A208" s="159">
        <v>9</v>
      </c>
      <c r="B208" s="194">
        <f t="shared" si="49"/>
        <v>44805</v>
      </c>
      <c r="C208" s="214">
        <f t="shared" si="64"/>
        <v>44839</v>
      </c>
      <c r="D208" s="214">
        <f t="shared" si="64"/>
        <v>44859</v>
      </c>
      <c r="E208" s="54" t="s">
        <v>17</v>
      </c>
      <c r="F208" s="159">
        <v>9</v>
      </c>
      <c r="G208" s="196">
        <v>115</v>
      </c>
      <c r="H208" s="197">
        <f t="shared" si="50"/>
        <v>1393.5515841383033</v>
      </c>
      <c r="I208" s="197">
        <f t="shared" si="63"/>
        <v>1266.7977110484107</v>
      </c>
      <c r="J208" s="198">
        <f t="shared" si="51"/>
        <v>145681.73677056722</v>
      </c>
      <c r="K208" s="205">
        <f t="shared" si="66"/>
        <v>160258.43217590486</v>
      </c>
      <c r="L208" s="204">
        <f t="shared" si="67"/>
        <v>-14576.695405337639</v>
      </c>
      <c r="M208" s="201">
        <f t="shared" si="52"/>
        <v>-795.99103355931425</v>
      </c>
      <c r="N208" s="202">
        <f t="shared" si="53"/>
        <v>-15372.686438896953</v>
      </c>
      <c r="O208" s="201">
        <f t="shared" si="54"/>
        <v>0</v>
      </c>
      <c r="P208" s="201">
        <f t="shared" si="55"/>
        <v>0</v>
      </c>
      <c r="Q208" s="201">
        <v>0</v>
      </c>
      <c r="R208" s="202">
        <f t="shared" si="56"/>
        <v>-15372.686438896953</v>
      </c>
    </row>
    <row r="209" spans="1:18" x14ac:dyDescent="0.2">
      <c r="A209" s="125">
        <v>10</v>
      </c>
      <c r="B209" s="194">
        <f t="shared" si="49"/>
        <v>44835</v>
      </c>
      <c r="C209" s="214">
        <f t="shared" si="64"/>
        <v>44868</v>
      </c>
      <c r="D209" s="214">
        <f t="shared" si="64"/>
        <v>44888</v>
      </c>
      <c r="E209" s="54" t="s">
        <v>17</v>
      </c>
      <c r="F209" s="159">
        <v>9</v>
      </c>
      <c r="G209" s="196">
        <v>105</v>
      </c>
      <c r="H209" s="197">
        <f t="shared" si="50"/>
        <v>1393.5515841383033</v>
      </c>
      <c r="I209" s="197">
        <f t="shared" si="63"/>
        <v>1266.7977110484107</v>
      </c>
      <c r="J209" s="198">
        <f t="shared" si="51"/>
        <v>133013.75966008313</v>
      </c>
      <c r="K209" s="205">
        <f t="shared" si="66"/>
        <v>146322.91633452184</v>
      </c>
      <c r="L209" s="204">
        <f t="shared" si="67"/>
        <v>-13309.156674438709</v>
      </c>
      <c r="M209" s="201">
        <f t="shared" si="52"/>
        <v>-726.77442194546086</v>
      </c>
      <c r="N209" s="202">
        <f t="shared" si="53"/>
        <v>-14035.931096384171</v>
      </c>
      <c r="O209" s="201">
        <f t="shared" si="54"/>
        <v>0</v>
      </c>
      <c r="P209" s="201">
        <f t="shared" si="55"/>
        <v>0</v>
      </c>
      <c r="Q209" s="201">
        <v>0</v>
      </c>
      <c r="R209" s="202">
        <f t="shared" si="56"/>
        <v>-14035.931096384171</v>
      </c>
    </row>
    <row r="210" spans="1:18" x14ac:dyDescent="0.2">
      <c r="A210" s="159">
        <v>11</v>
      </c>
      <c r="B210" s="194">
        <f t="shared" si="49"/>
        <v>44866</v>
      </c>
      <c r="C210" s="214">
        <f t="shared" si="64"/>
        <v>44900</v>
      </c>
      <c r="D210" s="214">
        <f t="shared" si="64"/>
        <v>44918</v>
      </c>
      <c r="E210" s="54" t="s">
        <v>17</v>
      </c>
      <c r="F210" s="159">
        <v>9</v>
      </c>
      <c r="G210" s="196">
        <v>104</v>
      </c>
      <c r="H210" s="197">
        <f t="shared" si="50"/>
        <v>1393.5515841383033</v>
      </c>
      <c r="I210" s="197">
        <f t="shared" si="63"/>
        <v>1266.7977110484107</v>
      </c>
      <c r="J210" s="198">
        <f t="shared" si="51"/>
        <v>131746.96194903471</v>
      </c>
      <c r="K210" s="205">
        <f>+$G210*H210</f>
        <v>144929.36475038354</v>
      </c>
      <c r="L210" s="204">
        <f t="shared" si="67"/>
        <v>-13182.402801348828</v>
      </c>
      <c r="M210" s="201">
        <f t="shared" si="52"/>
        <v>-719.85276078407537</v>
      </c>
      <c r="N210" s="202">
        <f t="shared" si="53"/>
        <v>-13902.255562132903</v>
      </c>
      <c r="O210" s="201">
        <f t="shared" si="54"/>
        <v>0</v>
      </c>
      <c r="P210" s="201">
        <f t="shared" si="55"/>
        <v>0</v>
      </c>
      <c r="Q210" s="201">
        <v>0</v>
      </c>
      <c r="R210" s="202">
        <f t="shared" si="56"/>
        <v>-13902.255562132903</v>
      </c>
    </row>
    <row r="211" spans="1:18" s="218" customFormat="1" x14ac:dyDescent="0.2">
      <c r="A211" s="159">
        <v>12</v>
      </c>
      <c r="B211" s="216">
        <f t="shared" si="49"/>
        <v>44896</v>
      </c>
      <c r="C211" s="219">
        <f t="shared" si="64"/>
        <v>44930</v>
      </c>
      <c r="D211" s="219">
        <f t="shared" si="64"/>
        <v>44950</v>
      </c>
      <c r="E211" s="217" t="s">
        <v>17</v>
      </c>
      <c r="F211" s="170">
        <v>9</v>
      </c>
      <c r="G211" s="196">
        <v>104</v>
      </c>
      <c r="H211" s="206">
        <f t="shared" si="50"/>
        <v>1393.5515841383033</v>
      </c>
      <c r="I211" s="206">
        <f t="shared" si="63"/>
        <v>1266.7977110484107</v>
      </c>
      <c r="J211" s="207">
        <f t="shared" si="51"/>
        <v>131746.96194903471</v>
      </c>
      <c r="K211" s="208">
        <f>+$G211*H211</f>
        <v>144929.36475038354</v>
      </c>
      <c r="L211" s="209">
        <f t="shared" si="67"/>
        <v>-13182.402801348828</v>
      </c>
      <c r="M211" s="207">
        <f t="shared" si="52"/>
        <v>-719.85276078407537</v>
      </c>
      <c r="N211" s="202">
        <f t="shared" si="53"/>
        <v>-13902.255562132903</v>
      </c>
      <c r="O211" s="207">
        <f t="shared" si="54"/>
        <v>0</v>
      </c>
      <c r="P211" s="224">
        <f t="shared" si="55"/>
        <v>0</v>
      </c>
      <c r="Q211" s="201">
        <v>0</v>
      </c>
      <c r="R211" s="202">
        <f t="shared" si="56"/>
        <v>-13902.255562132903</v>
      </c>
    </row>
    <row r="212" spans="1:18" x14ac:dyDescent="0.2">
      <c r="G212" s="225">
        <f>SUM(G20:G211)</f>
        <v>104674</v>
      </c>
      <c r="H212" s="51"/>
      <c r="I212" s="51"/>
      <c r="J212" s="51">
        <f>SUM(J20:J211)</f>
        <v>132600783.60628143</v>
      </c>
      <c r="K212" s="51">
        <f>SUM(K20:K211)</f>
        <v>145868618.51809266</v>
      </c>
      <c r="L212" s="51">
        <f>SUM(L20:L211)</f>
        <v>-13267834.911811415</v>
      </c>
      <c r="M212" s="51">
        <f>SUM(M20:M211)</f>
        <v>-724517.96040684916</v>
      </c>
      <c r="N212" s="51"/>
      <c r="O212" s="51"/>
      <c r="P212" s="51">
        <f>SUM(P20:P211)</f>
        <v>0</v>
      </c>
      <c r="Q212" s="51"/>
      <c r="R212" s="226">
        <f>SUM(R20:R211)</f>
        <v>-13992352.872218259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NjowN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OToyMS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9F2697C-8AA3-4853-90AC-D1EFBA06E9B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E75420D-45BE-44C8-9C33-252FACB044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Instructions</vt:lpstr>
      <vt:lpstr>Summary</vt:lpstr>
      <vt:lpstr>Pivot</vt:lpstr>
      <vt:lpstr>Transactions</vt:lpstr>
      <vt:lpstr>Transactions!AS1_1999</vt:lpstr>
      <vt:lpstr>Instructions!Print_Area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s349016</cp:lastModifiedBy>
  <cp:lastPrinted>2023-05-25T11:50:22Z</cp:lastPrinted>
  <dcterms:created xsi:type="dcterms:W3CDTF">2009-09-04T18:19:13Z</dcterms:created>
  <dcterms:modified xsi:type="dcterms:W3CDTF">2023-05-25T11:51:48Z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6c50bb87-5e35-48e4-8c52-adbcd654b860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{99F2697C-8AA3-4853-90AC-D1EFBA06E9BE}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